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omments4.xml" ContentType="application/vnd.openxmlformats-officedocument.spreadsheetml.comments+xml"/>
  <Override PartName="/xl/drawings/vmlDrawing1.vml" ContentType="application/vnd.openxmlformats-officedocument.vmlDrawing"/>
  <Override PartName="/xl/drawings/drawing1.xml" ContentType="application/vnd.openxmlformats-officedocument.drawing+xml"/>
  <Override PartName="/xl/drawings/drawing2.xml" ContentType="application/vnd.openxmlformats-officedocument.drawing+xml"/>
  <Override PartName="/xl/styles.xml" ContentType="application/vnd.openxmlformats-officedocument.spreadsheetml.styl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Quick Check" sheetId="1" state="visible" r:id="rId3"/>
    <sheet name="Worksheet" sheetId="2" state="visible" r:id="rId4"/>
    <sheet name="Retirement Budget" sheetId="3" state="visible" r:id="rId5"/>
    <sheet name="Help" sheetId="4" state="visible" r:id="rId6"/>
    <sheet name="Bond ladder Form" sheetId="5" state="visible" r:id="rId7"/>
    <sheet name="RMD" sheetId="6" state="visible" r:id="rId8"/>
  </sheets>
  <definedNames>
    <definedName function="false" hidden="false" localSheetId="0" name="_xlnm.Print_Area" vbProcedure="false">'Quick Check'!$A$9:$F$29</definedName>
    <definedName function="false" hidden="false" localSheetId="2" name="_xlnm.Print_Area" vbProcedure="false">'Retirement Budget'!$A$1:$K$62</definedName>
    <definedName function="false" hidden="false" localSheetId="1" name="_xlnm.Print_Area" vbProcedure="false">Worksheet!$A$4:$L$25,Worksheet!$M$4:$O$20,Worksheet!$M$21:$Q$47,Worksheet!$M$50:$O$67,Worksheet!$I$27:$L$50,Worksheet!$A$26:$H$583</definedName>
    <definedName function="false" hidden="false" name="cp" vbProcedure="false">Worksheet!$S$3</definedName>
    <definedName function="false" hidden="false" name="gper" vbProcedure="false">Worksheet!$S$5</definedName>
    <definedName function="false" hidden="false" name="inflation" vbProcedure="false">Worksheet!$D$16</definedName>
    <definedName function="false" hidden="false" name="P" vbProcedure="false">Worksheet!$D$5</definedName>
    <definedName function="false" hidden="false" name="ppy" vbProcedure="false">Worksheet!$S$3</definedName>
    <definedName function="false" hidden="false" name="rate" vbProcedure="false">Worksheet!$D$8</definedName>
    <definedName function="false" hidden="false" name="rper" vbProcedure="false">Worksheet!$S$2</definedName>
    <definedName function="false" hidden="false" name="type" vbProcedure="false">Worksheet!$S$4</definedName>
    <definedName function="false" hidden="false" name="VALUEVX" vbProcedure="false">NA()</definedName>
  </definedNames>
  <calcPr iterateCount="100" refMode="A1" iterate="true" iterateDelta="0.0001"/>
  <extLst>
    <ext xmlns:loext="http://schemas.libreoffice.org/" uri="{7626C862-2A13-11E5-B345-FEFF819CDC9F}">
      <loext:extCalcPr stringRefSyntax="CalcA1"/>
    </ext>
  </extLst>
</workbook>
</file>

<file path=xl/comments4.xml><?xml version="1.0" encoding="utf-8"?>
<comments xmlns="http://schemas.openxmlformats.org/spreadsheetml/2006/main" xmlns:xdr="http://schemas.openxmlformats.org/drawingml/2006/spreadsheetDrawing">
  <authors>
    <author>Unknown Author</author>
  </authors>
  <commentList>
    <comment ref="C14" authorId="0">
      <text>
        <r>
          <rPr>
            <sz val="10"/>
            <rFont val="Arial"/>
            <family val="2"/>
          </rPr>
          <t xml:space="preserve">Retirement Date:
This date is used as the first date in the Payout Schedule and to calculate the Years Until Retirement.</t>
        </r>
      </text>
    </comment>
    <comment ref="C15" authorId="0">
      <text>
        <r>
          <rPr>
            <sz val="10"/>
            <rFont val="Arial"/>
            <family val="2"/>
          </rPr>
          <t xml:space="preserve">Annual Interest Rate:
This spreadsheet assumes a fixed annual interest rate, though actual interest rates may vary. It also assumes that interest is earned tax free (such as inside an IRA).</t>
        </r>
      </text>
    </comment>
    <comment ref="C17" authorId="0">
      <text>
        <r>
          <rPr>
            <sz val="10"/>
            <rFont val="Arial"/>
            <family val="2"/>
          </rPr>
          <t xml:space="preserve">First Withdrawal in today’s dollars</t>
        </r>
      </text>
    </comment>
    <comment ref="C20" authorId="0">
      <text>
        <r>
          <rPr>
            <sz val="10"/>
            <rFont val="Arial"/>
            <family val="2"/>
          </rPr>
          <t xml:space="preserve">First Withdrawal (in today's dollars With Taxes included):
</t>
        </r>
      </text>
    </comment>
    <comment ref="C21" authorId="0">
      <text>
        <r>
          <rPr>
            <sz val="10"/>
            <rFont val="Arial"/>
            <family val="2"/>
          </rPr>
          <t xml:space="preserve">Payment Type:
- This is used to specify whether the withdrawals are made at the beginning or end of each period.
- When you choose "Beginning of Period", the first payment is made at the end of period 0, which is the same as saying the beginning of period 1.</t>
        </r>
      </text>
    </comment>
    <comment ref="C22" authorId="0">
      <text>
        <r>
          <rPr>
            <sz val="10"/>
            <rFont val="Arial"/>
            <family val="2"/>
          </rPr>
          <t xml:space="preserve">Annual Inflation Rate:
- This rate is used to gradually increase the withdrawal amount each period. It is also used to calculate the inflation-adjusted Initial Withdrawal.
 </t>
        </r>
      </text>
    </comment>
    <comment ref="C23" authorId="0">
      <text>
        <r>
          <rPr>
            <sz val="10"/>
            <rFont val="Arial"/>
            <family val="2"/>
          </rPr>
          <t xml:space="preserve">Current Age:
- Entering your Current Age and the Date of Retirement makes it possible to estimate your age at the time of the last payment.</t>
        </r>
      </text>
    </comment>
  </commentList>
</comments>
</file>

<file path=xl/sharedStrings.xml><?xml version="1.0" encoding="utf-8"?>
<sst xmlns="http://schemas.openxmlformats.org/spreadsheetml/2006/main" count="514" uniqueCount="343">
  <si>
    <r>
      <rPr>
        <sz val="15"/>
        <color rgb="FFFF0000"/>
        <rFont val="Arial"/>
        <family val="2"/>
      </rPr>
      <t xml:space="preserve">Only enter information in the yellow areas. 
</t>
    </r>
    <r>
      <rPr>
        <sz val="10"/>
        <rFont val="Arial"/>
        <family val="2"/>
      </rPr>
      <t xml:space="preserve">There are 3 worksheets attached. 
1. Quick check(This Sheet) - Very rough average. This sheet is not needed. Feel free to play or move to worksheet 2
2. Worksheet – Meat of the program. Gives you a simple or robust control over scenarios and time lines.
3. Retirement Budget – Once you have refined a retirement strategy, define what you budget needs look like. </t>
    </r>
  </si>
  <si>
    <t xml:space="preserve">Mini Calculator based on a set asset amount like an old account with no contributions</t>
  </si>
  <si>
    <t xml:space="preserve">Expected future Interest Rate</t>
  </si>
  <si>
    <t xml:space="preserve">Mini calculator to quickly check accounts no longer being contributed to. Total monthly payment before/after taxes from A19.</t>
  </si>
  <si>
    <t xml:space="preserve">Number of years to spread payments</t>
  </si>
  <si>
    <t xml:space="preserve">Current Investment Value</t>
  </si>
  <si>
    <t xml:space="preserve">Years to delay taking withdrawals?</t>
  </si>
  <si>
    <t xml:space="preserve">Payment W/Taxes</t>
  </si>
  <si>
    <t xml:space="preserve"> </t>
  </si>
  <si>
    <t xml:space="preserve">Monthly payment estimate</t>
  </si>
  <si>
    <t xml:space="preserve">Quick Check investment snapshot (very very general snap shot, not as accurate as worksheet)</t>
  </si>
  <si>
    <t xml:space="preserve">Fill in yellow areas below</t>
  </si>
  <si>
    <t xml:space="preserve">Current investments</t>
  </si>
  <si>
    <t xml:space="preserve">Quick contribution and time line calculator. Very general snapshot . </t>
  </si>
  <si>
    <t xml:space="preserve">Yearly contributions</t>
  </si>
  <si>
    <t xml:space="preserve">Years to contribute</t>
  </si>
  <si>
    <t xml:space="preserve">Years for retirement to last</t>
  </si>
  <si>
    <t xml:space="preserve">Return rate before retirement</t>
  </si>
  <si>
    <t xml:space="preserve">Current Inflation</t>
  </si>
  <si>
    <t xml:space="preserve">Expected Monthly withdrawal in retirement after taxes</t>
  </si>
  <si>
    <t xml:space="preserve">Return rate after retirement</t>
  </si>
  <si>
    <t xml:space="preserve">Expected fed/state tax rate combined</t>
  </si>
  <si>
    <t xml:space="preserve">Savings After Contribution Period </t>
  </si>
  <si>
    <t xml:space="preserve">Amount of Payments</t>
  </si>
  <si>
    <t xml:space="preserve">Years investment should last(averaged) Includes taxes, inflation and withdrawals</t>
  </si>
  <si>
    <t xml:space="preserve">Interest Earned(Averaged)</t>
  </si>
  <si>
    <t xml:space="preserve">Lifetime amount</t>
  </si>
  <si>
    <t xml:space="preserve">Conventional wisdom says(Optional for fun)</t>
  </si>
  <si>
    <t xml:space="preserve">How much do you make a year? </t>
  </si>
  <si>
    <t xml:space="preserve">Conventional wisdom says you should have saved 8 times your salary by 60</t>
  </si>
  <si>
    <t xml:space="preserve">4% rule </t>
  </si>
  <si>
    <t xml:space="preserve">States that if you spend 4% a year of your investment, it should last 30 years or more</t>
  </si>
  <si>
    <t xml:space="preserve">Monthly</t>
  </si>
  <si>
    <t xml:space="preserve">How much can I take out currently under the 4% rule monthly. Amount pulled from A21. Keep in mind that amount includes your taxes and everything, not just what you get to spend.</t>
  </si>
  <si>
    <t xml:space="preserve">How old are you?</t>
  </si>
  <si>
    <t xml:space="preserve">Save at least 1x your annual salary by age 30, 3x by age 40, 6x by age 50, and 10x by age 67. This will give you a guideline of savings X savings needs. Either “Goal Reached” or goal shortage will appear. </t>
  </si>
  <si>
    <t xml:space="preserve">Click on purple “Worksheet” tab below to fill out full scope retirement form after snap shot. Remember, there are 3 tabs to fully complete your snap shot if you want the full look. </t>
  </si>
  <si>
    <t xml:space="preserve">Taxable Income from (D5). Best match for majority of investment</t>
  </si>
  <si>
    <t xml:space="preserve">Code area. Do not modify past this point</t>
  </si>
  <si>
    <t xml:space="preserve">    Tax everything=YES       Tax Interest only=NO</t>
  </si>
  <si>
    <t xml:space="preserve">fed rates</t>
  </si>
  <si>
    <t xml:space="preserve">Single</t>
  </si>
  <si>
    <t xml:space="preserve">***Enter information in yellow areas only***
Educational purposes only. To be used as a guideline. SSN area needs to be updated for current year(currently 2026)</t>
  </si>
  <si>
    <t xml:space="preserve">***Enter information in yellow areas only***</t>
  </si>
  <si>
    <t xml:space="preserve">rate per period</t>
  </si>
  <si>
    <t xml:space="preserve">YES</t>
  </si>
  <si>
    <t xml:space="preserve">0.000.00</t>
  </si>
  <si>
    <t xml:space="preserve">First of month</t>
  </si>
  <si>
    <t xml:space="preserve">payments per year</t>
  </si>
  <si>
    <t xml:space="preserve">1. Start Here</t>
  </si>
  <si>
    <t xml:space="preserve">2. Additional Savings To Goal (Optional)</t>
  </si>
  <si>
    <t xml:space="preserve">3. Modify Date And Amount As Needed(Optional)</t>
  </si>
  <si>
    <t xml:space="preserve">4. Social Security Real Value(Optional)</t>
  </si>
  <si>
    <t xml:space="preserve">type</t>
  </si>
  <si>
    <t xml:space="preserve"> Yearly updates to the right. Orange area is for Federal. Single up top, married below. Green is for your state. Single up top, married below. Follow the format. Leave a section blank if your state does not have that many brackets. Use 9999999999 for that last cell of the bucket. This just keeps you below the threshold...for 99% of us anyway. 
To the right of that chart is your yearly update. Once you have changed the information for the SSN to the bottom left (Everything will high light in black) and the Fed/State taxes to the right. Change the date in Purple ------→
To clear the flags on the page. If you make it to Jan 1st…..you will get the flags. Test it out to see what happens so you are aware. </t>
  </si>
  <si>
    <t xml:space="preserve">Current Investment</t>
  </si>
  <si>
    <t xml:space="preserve">Current monthly investment contribution</t>
  </si>
  <si>
    <t xml:space="preserve">1. Social security payments</t>
  </si>
  <si>
    <t xml:space="preserve">Fill out form in green below to complete this section</t>
  </si>
  <si>
    <t xml:space="preserve">inflation per period</t>
  </si>
  <si>
    <t xml:space="preserve">Total Investment Goal</t>
  </si>
  <si>
    <t xml:space="preserve">Current Amount</t>
  </si>
  <si>
    <t xml:space="preserve">2. Portion of SS that is taxable</t>
  </si>
  <si>
    <t xml:space="preserve"> Fill in all yellow areas. Spouse married section below</t>
  </si>
  <si>
    <t xml:space="preserve">Date of Retirement</t>
  </si>
  <si>
    <t xml:space="preserve">Total Goal/Need For Retirement</t>
  </si>
  <si>
    <t xml:space="preserve">3. Monthly SS Taxes(1x2x4)</t>
  </si>
  <si>
    <t xml:space="preserve">does not matter for this form</t>
  </si>
  <si>
    <t xml:space="preserve">Expected annual Interest Rate</t>
  </si>
  <si>
    <t xml:space="preserve">Additional Savings Needed</t>
  </si>
  <si>
    <t xml:space="preserve">4. Income tax bracket</t>
  </si>
  <si>
    <t xml:space="preserve">Does your state take SSN Taxes?</t>
  </si>
  <si>
    <t xml:space="preserve">NO</t>
  </si>
  <si>
    <t xml:space="preserve">Withdrawal Frequency</t>
  </si>
  <si>
    <t xml:space="preserve">Withdrawal % </t>
  </si>
  <si>
    <t xml:space="preserve">Additional Compounded Interest</t>
  </si>
  <si>
    <t xml:space="preserve">Yearly Cola%. Only if using #3 for SSN</t>
  </si>
  <si>
    <t xml:space="preserve">When done with this form, click on the “Retirement Budget” sheet tab below to review your expenses against your expected income. Some information from this form will carry over to assist.</t>
  </si>
  <si>
    <t xml:space="preserve">1. Withdrawal Amount(spendable)</t>
  </si>
  <si>
    <t xml:space="preserve">Adjusted Out Of Pocket Needed</t>
  </si>
  <si>
    <t xml:space="preserve">Medicare D Drug</t>
  </si>
  <si>
    <t xml:space="preserve">Married</t>
  </si>
  <si>
    <t xml:space="preserve">2. Monthly w/Est current taxes</t>
  </si>
  <si>
    <t xml:space="preserve">Months To Save Before Retire </t>
  </si>
  <si>
    <t xml:space="preserve">Date reduce/take more</t>
  </si>
  <si>
    <t xml:space="preserve">New Yearly withdrawal</t>
  </si>
  <si>
    <t xml:space="preserve">Medicare Part B</t>
  </si>
  <si>
    <t xml:space="preserve">3. Yearly w/Est current taxes</t>
  </si>
  <si>
    <t xml:space="preserve">Adjusted 
↓ % ↓ </t>
  </si>
  <si>
    <t xml:space="preserve">Additional monthly catch up  contribution needed to hit goal</t>
  </si>
  <si>
    <t xml:space="preserve">Amount to reduce/take </t>
  </si>
  <si>
    <t xml:space="preserve">Medicare part C</t>
  </si>
  <si>
    <t xml:space="preserve">Medigap? </t>
  </si>
  <si>
    <t xml:space="preserve">Federal Tax Bracket</t>
  </si>
  <si>
    <r>
      <rPr>
        <b val="true"/>
        <sz val="10"/>
        <color rgb="FF111111"/>
        <rFont val="Bahnschrift SemiBold"/>
        <family val="2"/>
      </rPr>
      <t xml:space="preserve">Combined  </t>
    </r>
    <r>
      <rPr>
        <sz val="9"/>
        <color rgb="FF111111"/>
        <rFont val="Arial"/>
        <family val="2"/>
      </rPr>
      <t xml:space="preserve">↓</t>
    </r>
    <r>
      <rPr>
        <b val="true"/>
        <sz val="10"/>
        <color rgb="FF111111"/>
        <rFont val="Bahnschrift SemiBold"/>
        <family val="2"/>
      </rPr>
      <t xml:space="preserve">Tax </t>
    </r>
    <r>
      <rPr>
        <sz val="9"/>
        <color rgb="FF111111"/>
        <rFont val="Arial"/>
        <family val="2"/>
      </rPr>
      <t xml:space="preserve">↓</t>
    </r>
  </si>
  <si>
    <t xml:space="preserve">Advantage Plan</t>
  </si>
  <si>
    <t xml:space="preserve">Rule 1</t>
  </si>
  <si>
    <t xml:space="preserve">State Tax Bracket</t>
  </si>
  <si>
    <t xml:space="preserve"> Other</t>
  </si>
  <si>
    <t xml:space="preserve">Rule 2</t>
  </si>
  <si>
    <t xml:space="preserve">Annual Inflation Rate(refer to “initial withdrawal” below)</t>
  </si>
  <si>
    <r>
      <rPr>
        <sz val="9"/>
        <color rgb="FF111111"/>
        <rFont val="Arial"/>
        <family val="2"/>
      </rPr>
      <t xml:space="preserve">↓ </t>
    </r>
    <r>
      <rPr>
        <b val="true"/>
        <sz val="10"/>
        <color rgb="FF111111"/>
        <rFont val="Bahnschrift SemiBold"/>
        <family val="2"/>
      </rPr>
      <t xml:space="preserve">Yrly </t>
    </r>
    <r>
      <rPr>
        <sz val="9"/>
        <color rgb="FF111111"/>
        <rFont val="Arial"/>
        <family val="2"/>
      </rPr>
      <t xml:space="preserve">↓</t>
    </r>
    <r>
      <rPr>
        <b val="true"/>
        <sz val="10"/>
        <color rgb="FF111111"/>
        <rFont val="Bahnschrift SemiBold"/>
        <family val="2"/>
      </rPr>
      <t xml:space="preserve"> Inflation $</t>
    </r>
  </si>
  <si>
    <t xml:space="preserve">Other</t>
  </si>
  <si>
    <t xml:space="preserve">Enter Birthday</t>
  </si>
  <si>
    <t xml:space="preserve">Years To Retirement</t>
  </si>
  <si>
    <t xml:space="preserve">Misc Info</t>
  </si>
  <si>
    <t xml:space="preserve">Retirement Age</t>
  </si>
  <si>
    <t xml:space="preserve">5. Spendable social security</t>
  </si>
  <si>
    <t xml:space="preserve">SINGLE</t>
  </si>
  <si>
    <t xml:space="preserve">Initial Withdrawal including taxes </t>
  </si>
  <si>
    <t xml:space="preserve">6. % of check sucked away</t>
  </si>
  <si>
    <t xml:space="preserve">state rates</t>
  </si>
  <si>
    <t xml:space="preserve">Number of Payouts(-1 is correct)</t>
  </si>
  <si>
    <t xml:space="preserve">Taking all information listed (AT=After Tax)</t>
  </si>
  <si>
    <t xml:space="preserve">Expected to last until age (Max 106.2)</t>
  </si>
  <si>
    <t xml:space="preserve">Years to pay out</t>
  </si>
  <si>
    <t xml:space="preserve">Monthly including section 1 and other investments below (Before SSN)</t>
  </si>
  <si>
    <t xml:space="preserve">Total Monthly after (AT) and medicare</t>
  </si>
  <si>
    <t xml:space="preserve">Interest Earned</t>
  </si>
  <si>
    <t xml:space="preserve">Total Withdrawals</t>
  </si>
  <si>
    <t xml:space="preserve">MARRIED</t>
  </si>
  <si>
    <t xml:space="preserve">Payout based on current investment and estimated future interest</t>
  </si>
  <si>
    <t xml:space="preserve">Monthly including 1,2,3,4 and other investments Below 
(After SSN)</t>
  </si>
  <si>
    <t xml:space="preserve">Total Monthly (AT)</t>
  </si>
  <si>
    <t xml:space="preserve">&lt;--UPDATE YEARLY</t>
  </si>
  <si>
    <t xml:space="preserve">#</t>
  </si>
  <si>
    <t xml:space="preserve">Dates</t>
  </si>
  <si>
    <t xml:space="preserve">Age</t>
  </si>
  <si>
    <t xml:space="preserve">Earned Interest</t>
  </si>
  <si>
    <t xml:space="preserve">Withdrawal Amount inc/taxes</t>
  </si>
  <si>
    <t xml:space="preserve">Additional Withdrawals</t>
  </si>
  <si>
    <t xml:space="preserve">Balance</t>
  </si>
  <si>
    <t xml:space="preserve">Total Income W/ inflation no taxes taken out</t>
  </si>
  <si>
    <t xml:space="preserve"> Formulas below this area, do not modify</t>
  </si>
  <si>
    <t xml:space="preserve">If Investment goal and interest meet</t>
  </si>
  <si>
    <t xml:space="preserve">If Investment goal and interest meet (AT)</t>
  </si>
  <si>
    <t xml:space="preserve">2026 Single max amount allowed</t>
  </si>
  <si>
    <t xml:space="preserve">2026 Married spouse amount allowed</t>
  </si>
  <si>
    <t xml:space="preserve">2026 single 50% max</t>
  </si>
  <si>
    <t xml:space="preserve">Yearly Amount</t>
  </si>
  <si>
    <t xml:space="preserve">2026 married 50% max </t>
  </si>
  <si>
    <t xml:space="preserve">Income</t>
  </si>
  <si>
    <t xml:space="preserve">Additional taxable income. This check is only for SSN tax-ability</t>
  </si>
  <si>
    <t xml:space="preserve">Enter info in yellow areas only</t>
  </si>
  <si>
    <t xml:space="preserve">Single or Married</t>
  </si>
  <si>
    <t xml:space="preserve">Annuities</t>
  </si>
  <si>
    <t xml:space="preserve">SS income(Enter above) </t>
  </si>
  <si>
    <t xml:space="preserve">Dividends</t>
  </si>
  <si>
    <t xml:space="preserve">Work Income</t>
  </si>
  <si>
    <t xml:space="preserve">Wife’s 401k</t>
  </si>
  <si>
    <t xml:space="preserve">Spouse SS income</t>
  </si>
  <si>
    <t xml:space="preserve">Wife Annuity</t>
  </si>
  <si>
    <t xml:space="preserve">Spouse work income</t>
  </si>
  <si>
    <t xml:space="preserve">Bonds Interest</t>
  </si>
  <si>
    <t xml:space="preserve">Stocks/interest/dividend/ect..</t>
  </si>
  <si>
    <t xml:space="preserve">Total combined income</t>
  </si>
  <si>
    <t xml:space="preserve">Income test actual against ss</t>
  </si>
  <si>
    <t xml:space="preserve">---</t>
  </si>
  <si>
    <t xml:space="preserve">Working under full retirement age(67)? </t>
  </si>
  <si>
    <t xml:space="preserve">Yes</t>
  </si>
  <si>
    <t xml:space="preserve">Over income SSN penalty</t>
  </si>
  <si>
    <t xml:space="preserve">Taxable SSN based on earnings</t>
  </si>
  <si>
    <t xml:space="preserve">Taxable amount</t>
  </si>
  <si>
    <t xml:space="preserve">Estimate SS w/penalties and tax</t>
  </si>
  <si>
    <t xml:space="preserve">Rental</t>
  </si>
  <si>
    <t xml:space="preserve">Compliance working hours Worksheet for SSN if under age of 67</t>
  </si>
  <si>
    <t xml:space="preserve">Hourly pay rate</t>
  </si>
  <si>
    <t xml:space="preserve">Weekly Allowed</t>
  </si>
  <si>
    <t xml:space="preserve">Weekly hours allowed w/out SSN penalty</t>
  </si>
  <si>
    <t xml:space="preserve">Daily hours 5 day work week</t>
  </si>
  <si>
    <t xml:space="preserve">Monthly Allowed</t>
  </si>
  <si>
    <t xml:space="preserve">Total 8 hour days in a week</t>
  </si>
  <si>
    <t xml:space="preserve">Yearly Work Income Allowed </t>
  </si>
  <si>
    <t xml:space="preserve">If I worked all year</t>
  </si>
  <si>
    <t xml:space="preserve">Weekly pay</t>
  </si>
  <si>
    <t xml:space="preserve">Stocks</t>
  </si>
  <si>
    <t xml:space="preserve">Hours needed weekly</t>
  </si>
  <si>
    <t xml:space="preserve">SS Income</t>
  </si>
  <si>
    <t xml:space="preserve">If I worked seasonally</t>
  </si>
  <si>
    <t xml:space="preserve">Months needed working 40 hours a week</t>
  </si>
  <si>
    <t xml:space="preserve">Spouse SS inc</t>
  </si>
  <si>
    <t xml:space="preserve">Spouse wk inc</t>
  </si>
  <si>
    <t xml:space="preserve">Yearly pretax pay</t>
  </si>
  <si>
    <t xml:space="preserve">RETIREMENT BUDGET</t>
  </si>
  <si>
    <t xml:space="preserve">AGE</t>
  </si>
  <si>
    <t xml:space="preserve">Age today</t>
  </si>
  <si>
    <t xml:space="preserve">Years to retirement</t>
  </si>
  <si>
    <t xml:space="preserve">Age at retirement</t>
  </si>
  <si>
    <t xml:space="preserve">RETIREMENT INCOME SOURCES</t>
  </si>
  <si>
    <t xml:space="preserve">Answer based on how you filled out previous sheet</t>
  </si>
  <si>
    <r>
      <rPr>
        <b val="true"/>
        <sz val="10"/>
        <color rgb="FFFF0000"/>
        <rFont val="Arial"/>
        <family val="2"/>
      </rPr>
      <t xml:space="preserve">AT</t>
    </r>
    <r>
      <rPr>
        <b val="true"/>
        <sz val="10"/>
        <rFont val="Arial"/>
        <family val="2"/>
      </rPr>
      <t xml:space="preserve">=After tax</t>
    </r>
  </si>
  <si>
    <t xml:space="preserve">Weekly</t>
  </si>
  <si>
    <t xml:space="preserve">Bi-Weekly</t>
  </si>
  <si>
    <t xml:space="preserve">Quarterly</t>
  </si>
  <si>
    <t xml:space="preserve">Annually</t>
  </si>
  <si>
    <r>
      <rPr>
        <sz val="10"/>
        <rFont val="Arial"/>
        <family val="2"/>
      </rPr>
      <t xml:space="preserve">Social Security from worksheet </t>
    </r>
    <r>
      <rPr>
        <sz val="10"/>
        <color rgb="FFFF0000"/>
        <rFont val="Arial"/>
        <family val="2"/>
      </rPr>
      <t xml:space="preserve">AT</t>
    </r>
  </si>
  <si>
    <t xml:space="preserve">Not collecting SSN yet. Choose NO</t>
  </si>
  <si>
    <t xml:space="preserve">No</t>
  </si>
  <si>
    <r>
      <rPr>
        <sz val="10"/>
        <rFont val="Arial"/>
        <family val="2"/>
      </rPr>
      <t xml:space="preserve">Shares/Investments from worksheet </t>
    </r>
    <r>
      <rPr>
        <sz val="10"/>
        <color rgb="FFFF0000"/>
        <rFont val="Arial"/>
        <family val="2"/>
      </rPr>
      <t xml:space="preserve">AT</t>
    </r>
  </si>
  <si>
    <r>
      <rPr>
        <sz val="10"/>
        <rFont val="Arial"/>
        <family val="2"/>
      </rPr>
      <t xml:space="preserve">Work income from worksheet</t>
    </r>
    <r>
      <rPr>
        <sz val="10"/>
        <color rgb="FFFF0000"/>
        <rFont val="Arial"/>
        <family val="2"/>
      </rPr>
      <t xml:space="preserve"> AT</t>
    </r>
  </si>
  <si>
    <t xml:space="preserve">Combined Annuity/Pension/CD</t>
  </si>
  <si>
    <t xml:space="preserve">Other retirement plans</t>
  </si>
  <si>
    <t xml:space="preserve">Rental(manually deduct expense/tax below)</t>
  </si>
  <si>
    <t xml:space="preserve">TOTAL</t>
  </si>
  <si>
    <t xml:space="preserve">HOUSING COSTS</t>
  </si>
  <si>
    <t xml:space="preserve">Mortgage or rent</t>
  </si>
  <si>
    <t xml:space="preserve">Property taxes</t>
  </si>
  <si>
    <t xml:space="preserve">Maintenance and repair</t>
  </si>
  <si>
    <t xml:space="preserve">Home insurance</t>
  </si>
  <si>
    <t xml:space="preserve">     Projected house taxes(31%)</t>
  </si>
  <si>
    <t xml:space="preserve">PERSONAL EXPENSES</t>
  </si>
  <si>
    <t xml:space="preserve">Grooming</t>
  </si>
  <si>
    <t xml:space="preserve">Clothing</t>
  </si>
  <si>
    <t xml:space="preserve">Holidays</t>
  </si>
  <si>
    <t xml:space="preserve">Travel</t>
  </si>
  <si>
    <t xml:space="preserve">Auto expense</t>
  </si>
  <si>
    <t xml:space="preserve">Auto insurance</t>
  </si>
  <si>
    <t xml:space="preserve">DAILY LIVING EXPENSE</t>
  </si>
  <si>
    <t xml:space="preserve">Groceries</t>
  </si>
  <si>
    <t xml:space="preserve">Entertainment</t>
  </si>
  <si>
    <t xml:space="preserve">Utilities/internet/Hulu…</t>
  </si>
  <si>
    <t xml:space="preserve">Telephone</t>
  </si>
  <si>
    <t xml:space="preserve">MEDICAL EXPENSES</t>
  </si>
  <si>
    <t xml:space="preserve">Prescription drugs</t>
  </si>
  <si>
    <t xml:space="preserve">Medical insurance</t>
  </si>
  <si>
    <t xml:space="preserve">required SSN reductions from worksheet</t>
  </si>
  <si>
    <t xml:space="preserve">SUMMARY</t>
  </si>
  <si>
    <t xml:space="preserve">Annual retirement income required</t>
  </si>
  <si>
    <t xml:space="preserve">Estimated Soc. Sec., pension, and other income</t>
  </si>
  <si>
    <t xml:space="preserve">Annual income shortfall</t>
  </si>
  <si>
    <t xml:space="preserve">SECTION 1&gt;</t>
  </si>
  <si>
    <t xml:space="preserve">This section is for reference only ***DO NOT ENTER ANY INFORMATION ON THIS SHEET** Enter information on the worksheet only. </t>
  </si>
  <si>
    <t xml:space="preserve">Quick check form </t>
  </si>
  <si>
    <t xml:space="preserve">This is meant to be a short form for a quick check on assets and time lines. </t>
  </si>
  <si>
    <t xml:space="preserve">The form itself is pretty straight forward. Simply enter information in the Yellow areas “ONLY” on the Worksheet. This is a help section only. </t>
  </si>
  <si>
    <t xml:space="preserve">How much do you have in all accounts. 401K, CD’s, bonds….</t>
  </si>
  <si>
    <t xml:space="preserve">Total retirement need</t>
  </si>
  <si>
    <t xml:space="preserve">How much do you need need, your goal</t>
  </si>
  <si>
    <t xml:space="preserve">Date of expected retirement</t>
  </si>
  <si>
    <t xml:space="preserve">Annual Interest Rate</t>
  </si>
  <si>
    <t xml:space="preserve">Give your best estimate on what percentage rate you expect to get while growing your investments</t>
  </si>
  <si>
    <t xml:space="preserve">weekly, monthly, Yearly…</t>
  </si>
  <si>
    <t xml:space="preserve">Withdrawal Amount</t>
  </si>
  <si>
    <t xml:space="preserve">What is your initial(weekly, monthly, yearly) amount going to be for retirement</t>
  </si>
  <si>
    <t xml:space="preserve">This is auto calculated. Do not enter information on this line. </t>
  </si>
  <si>
    <t xml:space="preserve">Tax Bracket</t>
  </si>
  <si>
    <t xml:space="preserve">What is your combined tax bracket fed/state</t>
  </si>
  <si>
    <t xml:space="preserve">Withdrawal w/Est taxes</t>
  </si>
  <si>
    <t xml:space="preserve">Payment Type</t>
  </si>
  <si>
    <t xml:space="preserve">Drop down box. Make choice</t>
  </si>
  <si>
    <t xml:space="preserve">Annual Inflation Rate</t>
  </si>
  <si>
    <t xml:space="preserve">Enter best guess on yearly inflation rate or look it up 2%-3% </t>
  </si>
  <si>
    <t xml:space="preserve">Current Age</t>
  </si>
  <si>
    <t xml:space="preserve">Enter current age</t>
  </si>
  <si>
    <t xml:space="preserve">Section 2&gt;</t>
  </si>
  <si>
    <t xml:space="preserve">Do not enter anything in section 2. Use as a guildline for retirement age and/or additional funds needed based on inputs</t>
  </si>
  <si>
    <t xml:space="preserve">Additional Compounded Interest Estimate</t>
  </si>
  <si>
    <t xml:space="preserve">Months To Save Before Retirement </t>
  </si>
  <si>
    <t xml:space="preserve">Monthly out of pocket needed w/Cmpd interest at 4%</t>
  </si>
  <si>
    <t xml:space="preserve">Section 3&gt;</t>
  </si>
  <si>
    <t xml:space="preserve">Date to reduce/take additional funds</t>
  </si>
  <si>
    <t xml:space="preserve"> Enter date to take more or less funds from retirement accounts(Not required). Examples: Annuity becomes available/start collecting SSN/quitting job</t>
  </si>
  <si>
    <t xml:space="preserve">Combine/Pension/Annuity/SS</t>
  </si>
  <si>
    <t xml:space="preserve">if you select a date, enter an amount to take more or a negative about to take less starting on that date. </t>
  </si>
  <si>
    <t xml:space="preserve">Section 4&gt;</t>
  </si>
  <si>
    <t xml:space="preserve">This section will tie everything together and give you more of a comprehensive breakdown including SSN payment taxes/total withdrawal before and after taxes</t>
  </si>
  <si>
    <t xml:space="preserve">Enter your expected SSN monthly payments</t>
  </si>
  <si>
    <t xml:space="preserve">Auto calculated. Do not enter anything on this line. </t>
  </si>
  <si>
    <t xml:space="preserve"> Required SS deductions</t>
  </si>
  <si>
    <t xml:space="preserve">Optional entries to add expenses coming out before receiving deposit of SSN</t>
  </si>
  <si>
    <t xml:space="preserve">You can enter an estimated bulk amount on any line here if you choose</t>
  </si>
  <si>
    <t xml:space="preserve">2025 Single max amount allowed</t>
  </si>
  <si>
    <t xml:space="preserve">https://www.ssa.gov/benefits/retirement/planner/whileworking.html Check the web site for current year income cap. Enter for accurate calculation</t>
  </si>
  <si>
    <t xml:space="preserve">2025 Married spouse amount allowed</t>
  </si>
  <si>
    <t xml:space="preserve">https://www-origin.ssa.gov/benefits/retirement/planner/taxes.html </t>
  </si>
  <si>
    <t xml:space="preserve">Income </t>
  </si>
  <si>
    <t xml:space="preserve">SS income </t>
  </si>
  <si>
    <t xml:space="preserve">Enter your expected income for the year</t>
  </si>
  <si>
    <t xml:space="preserve">Month ladder</t>
  </si>
  <si>
    <t xml:space="preserve">6 month</t>
  </si>
  <si>
    <t xml:space="preserve">interest rate</t>
  </si>
  <si>
    <t xml:space="preserve">Shares/Amount</t>
  </si>
  <si>
    <t xml:space="preserve">YR/BI-YR Interest</t>
  </si>
  <si>
    <t xml:space="preserve">Yearly Interest</t>
  </si>
  <si>
    <t xml:space="preserve">Years</t>
  </si>
  <si>
    <t xml:space="preserve">Total interest on investment</t>
  </si>
  <si>
    <t xml:space="preserve">Company with</t>
  </si>
  <si>
    <t xml:space="preserve">Maturity Date</t>
  </si>
  <si>
    <t xml:space="preserve">January</t>
  </si>
  <si>
    <t xml:space="preserve">July</t>
  </si>
  <si>
    <t xml:space="preserve">T-Bills</t>
  </si>
  <si>
    <t xml:space="preserve">February</t>
  </si>
  <si>
    <t xml:space="preserve">August</t>
  </si>
  <si>
    <t xml:space="preserve">April</t>
  </si>
  <si>
    <t xml:space="preserve">October</t>
  </si>
  <si>
    <t xml:space="preserve">May</t>
  </si>
  <si>
    <t xml:space="preserve">November</t>
  </si>
  <si>
    <t xml:space="preserve">December</t>
  </si>
  <si>
    <t xml:space="preserve">MYGA</t>
  </si>
  <si>
    <t xml:space="preserve">June</t>
  </si>
  <si>
    <t xml:space="preserve">CD</t>
  </si>
  <si>
    <t xml:space="preserve">Total</t>
  </si>
  <si>
    <t xml:space="preserve">Total Earned</t>
  </si>
  <si>
    <t xml:space="preserve">This pulls into the bond tab on worksheet – fed taxes</t>
  </si>
  <si>
    <t xml:space="preserve">Leaving A empty = yearly</t>
  </si>
  <si>
    <t xml:space="preserve">After Tax</t>
  </si>
  <si>
    <t xml:space="preserve">A with Month = Bi-Yearly</t>
  </si>
  <si>
    <t xml:space="preserve">Estimate base adjusted +/-</t>
  </si>
  <si>
    <t xml:space="preserve">T-Bill adjusted gain loss. Over/Under paid</t>
  </si>
  <si>
    <t xml:space="preserve">Average total interest rate </t>
  </si>
  <si>
    <t xml:space="preserve">Monthly Payment Schedule</t>
  </si>
  <si>
    <t xml:space="preserve">Month</t>
  </si>
  <si>
    <t xml:space="preserve">Total Payment</t>
  </si>
  <si>
    <t xml:space="preserve">March</t>
  </si>
  <si>
    <t xml:space="preserve">September</t>
  </si>
  <si>
    <t xml:space="preserve">~Quarterly Taxes</t>
  </si>
  <si>
    <t xml:space="preserve">Fed only</t>
  </si>
  <si>
    <t xml:space="preserve">Fed and State</t>
  </si>
  <si>
    <t xml:space="preserve">RMD</t>
  </si>
  <si>
    <t xml:space="preserve">Why this sheet is important</t>
  </si>
  <si>
    <t xml:space="preserve">Once you retire, every extra dollar of income — withdrawals, Roth conversions, part‑time work, capital gains — can trigger unexpected penalties and benefit reductions. Higher income can push you into IRMAA, which adds hundreds of dollars per month to your Medicare premiums. Up to 85% of your Social Security benefits can be included as taxable income, even if you thought it was “tax‑free.” Large withdrawals or RMDs can shove you into a higher tax bracket, cause you to lose ACA subsidies, or stack on top of your spouse’s pension and create a tax spike you didn’t plan for. Once RMDs start, you lose control if you are not prepared — the IRS forces withdrawals whether you need the money or not. Bottom line: in retirement, income doesn’t just get taxed — it can quietly increase your Medicare costs, reduce your Social Security through additional taxes, and create cascading penalties you never expected. </t>
  </si>
  <si>
    <t xml:space="preserve">401k Amount today</t>
  </si>
  <si>
    <t xml:space="preserve">Expected average interest %</t>
  </si>
  <si>
    <t xml:space="preserve">Years to age 75</t>
  </si>
  <si>
    <t xml:space="preserve">Estimated total</t>
  </si>
  <si>
    <t xml:space="preserve">Review the “RMD distributions” to the left, add it to your expected yearly income. If it takes you into any of the new income levels below, you make want to think about cutting somewhere to avoid the additional Medicare “Surcharge” on top of possibly hitting any new federal or state tax brackets as well as possibly hitting a higher tax bracket on your Social security. N6 on your worksheet tab, if filled out, will tell you your current tax bracket (0,50%,85%). </t>
  </si>
  <si>
    <t xml:space="preserve">RMD starts at age 75 in 2033</t>
  </si>
  <si>
    <t xml:space="preserve">RMD Distribution</t>
  </si>
  <si>
    <t xml:space="preserve">New yearly Interest</t>
  </si>
  <si>
    <t xml:space="preserve">New balance to calculate against next year</t>
  </si>
  <si>
    <t xml:space="preserve">2026 IRMAA Brackets (Based on 2024 MAGI)</t>
  </si>
  <si>
    <r>
      <rPr>
        <b val="true"/>
        <sz val="10"/>
        <rFont val="Arial"/>
        <family val="2"/>
      </rPr>
      <t xml:space="preserve">Single filers / Head of household / Qualifying surviving spouse with dependent child </t>
    </r>
    <r>
      <rPr>
        <b val="true"/>
        <sz val="10"/>
        <color rgb="FF0000FF"/>
        <rFont val="Arial"/>
        <family val="2"/>
      </rPr>
      <t xml:space="preserve">socialsecurity.gov+1</t>
    </r>
  </si>
  <si>
    <t xml:space="preserve">$109,000–$137,000: Part B $284.10/mo ($81.20 surcharge), Part D $14.50 + plan premium</t>
  </si>
  <si>
    <t xml:space="preserve">$137,001–$171,000: Part B $405.80/mo ($202.90 total), Part D $37.50 + plan premium</t>
  </si>
  <si>
    <t xml:space="preserve">$171,001–$205,000: Part B $527.50/mo ($324.60 total), Part D $60.40 + plan premium</t>
  </si>
  <si>
    <t xml:space="preserve">$205,001–$499,999: Part B $649.20/mo ($446.30 total), Part D $83.30 + plan premium</t>
  </si>
  <si>
    <t xml:space="preserve">$500,000+: Part B $689.90/mo ($487.00 total), Part D $91.00 + plan premium</t>
  </si>
  <si>
    <r>
      <rPr>
        <b val="true"/>
        <sz val="10"/>
        <rFont val="Arial"/>
        <family val="2"/>
      </rPr>
      <t xml:space="preserve">Married filing jointly </t>
    </r>
    <r>
      <rPr>
        <b val="true"/>
        <sz val="10"/>
        <color rgb="FF0000FF"/>
        <rFont val="Arial"/>
        <family val="2"/>
      </rPr>
      <t xml:space="preserve">socialsecurity.gov+1</t>
    </r>
  </si>
  <si>
    <t xml:space="preserve">$218,000–$274,000: Part B $284.10/mo ($81.20 surcharge), Part D $14.50 + plan premium</t>
  </si>
  <si>
    <t xml:space="preserve">$274,001–$342,000: Part B $405.80/mo ($202.90 total), Part D $37.50 + plan premium</t>
  </si>
  <si>
    <t xml:space="preserve">$342,001–$410,000: Part B $527.50/mo ($324.60 total), Part D $60.40 + plan premium</t>
  </si>
  <si>
    <t xml:space="preserve">$410,001–$749,999: Part B $649.20/mo ($446.30 total), Part D $83.30 + plan premium</t>
  </si>
  <si>
    <t xml:space="preserve">$750,000+: Part B $689.90/mo ($487.00 total), Part D $91.00 + plan premium</t>
  </si>
</sst>
</file>

<file path=xl/styles.xml><?xml version="1.0" encoding="utf-8"?>
<styleSheet xmlns="http://schemas.openxmlformats.org/spreadsheetml/2006/main">
  <numFmts count="26">
    <numFmt numFmtId="164" formatCode="General"/>
    <numFmt numFmtId="165" formatCode="[$$-409]#,##0.00;[RED]\-[$$-409]#,##0.00"/>
    <numFmt numFmtId="166" formatCode="0.00%"/>
    <numFmt numFmtId="167" formatCode="#,##0_);[RED]\(#,##0\)"/>
    <numFmt numFmtId="168" formatCode="\$#,##0"/>
    <numFmt numFmtId="169" formatCode="\$#,##0.00"/>
    <numFmt numFmtId="170" formatCode="0%"/>
    <numFmt numFmtId="171" formatCode="0.0%"/>
    <numFmt numFmtId="172" formatCode="0.00"/>
    <numFmt numFmtId="173" formatCode="0.0"/>
    <numFmt numFmtId="174" formatCode="0.0000%"/>
    <numFmt numFmtId="175" formatCode="0.00000000"/>
    <numFmt numFmtId="176" formatCode="[$$-409]#,##0;\-[$$-409]#,##0"/>
    <numFmt numFmtId="177" formatCode="0.000%"/>
    <numFmt numFmtId="178" formatCode="mm/dd/yy"/>
    <numFmt numFmtId="179" formatCode="m/d/yyyy"/>
    <numFmt numFmtId="180" formatCode="#,##0.00"/>
    <numFmt numFmtId="181" formatCode="#,##0.00_);[RED]\(#,##0.00\)"/>
    <numFmt numFmtId="182" formatCode="#,##0.0_);[RED]\(#,##0.0\)"/>
    <numFmt numFmtId="183" formatCode="#,##0.0"/>
    <numFmt numFmtId="184" formatCode="0"/>
    <numFmt numFmtId="185" formatCode="[$-809]#,##0;[RED]\-#,##0"/>
    <numFmt numFmtId="186" formatCode="0.00;[RED]\-0.00"/>
    <numFmt numFmtId="187" formatCode="#,##0.00\ ;\-#,##0.00\ ;\-#\ ;@\ "/>
    <numFmt numFmtId="188" formatCode="[$$-409]#,##0.00;\-[$$-409]#,##0.00"/>
    <numFmt numFmtId="189" formatCode="[$$-409]#,##0;[RED]\-[$$-409]#,##0"/>
  </numFmts>
  <fonts count="61">
    <font>
      <sz val="10"/>
      <name val="Arial"/>
      <family val="2"/>
    </font>
    <font>
      <sz val="10"/>
      <name val="Arial"/>
      <family val="0"/>
    </font>
    <font>
      <sz val="10"/>
      <name val="Arial"/>
      <family val="0"/>
    </font>
    <font>
      <sz val="10"/>
      <name val="Arial"/>
      <family val="0"/>
    </font>
    <font>
      <sz val="10"/>
      <color rgb="FF000000"/>
      <name val="Arial"/>
      <family val="2"/>
    </font>
    <font>
      <b val="true"/>
      <sz val="10"/>
      <color rgb="FF158466"/>
      <name val="Arial"/>
      <family val="2"/>
    </font>
    <font>
      <sz val="10"/>
      <color rgb="FFFF0000"/>
      <name val="Arial"/>
      <family val="2"/>
    </font>
    <font>
      <sz val="15"/>
      <color rgb="FFFF0000"/>
      <name val="Arial"/>
      <family val="2"/>
    </font>
    <font>
      <b val="true"/>
      <sz val="11"/>
      <name val="Arial"/>
      <family val="2"/>
    </font>
    <font>
      <b val="true"/>
      <sz val="10"/>
      <name val="Arial"/>
      <family val="2"/>
    </font>
    <font>
      <sz val="13"/>
      <color rgb="FFFFFF38"/>
      <name val="Arial"/>
      <family val="2"/>
    </font>
    <font>
      <sz val="10"/>
      <color rgb="FFFFFFFF"/>
      <name val="Arial"/>
      <family val="2"/>
    </font>
    <font>
      <b val="true"/>
      <i val="true"/>
      <sz val="10"/>
      <color rgb="FFFFFFFF"/>
      <name val="Verdana"/>
      <family val="0"/>
    </font>
    <font>
      <b val="true"/>
      <sz val="11"/>
      <color rgb="FF000000"/>
      <name val="Cambria"/>
      <family val="0"/>
    </font>
    <font>
      <sz val="10"/>
      <color rgb="FF000000"/>
      <name val="Verdana"/>
      <family val="0"/>
    </font>
    <font>
      <b val="true"/>
      <sz val="12"/>
      <name val="Arial"/>
      <family val="2"/>
    </font>
    <font>
      <sz val="10"/>
      <name val="Cambria"/>
      <family val="0"/>
    </font>
    <font>
      <b val="true"/>
      <sz val="16"/>
      <name val="Arial"/>
      <family val="2"/>
    </font>
    <font>
      <b val="true"/>
      <sz val="10"/>
      <color rgb="FFFFFFFF"/>
      <name val="Verdana"/>
      <family val="0"/>
    </font>
    <font>
      <b val="true"/>
      <sz val="26"/>
      <color rgb="FF000000"/>
      <name val="Arial"/>
      <family val="2"/>
    </font>
    <font>
      <b val="true"/>
      <sz val="15"/>
      <color rgb="FFFF0000"/>
      <name val="Arial"/>
      <family val="2"/>
    </font>
    <font>
      <b val="true"/>
      <sz val="12"/>
      <color rgb="FFF10D0C"/>
      <name val="Arial"/>
      <family val="2"/>
    </font>
    <font>
      <i val="true"/>
      <sz val="10"/>
      <name val="Arial"/>
      <family val="2"/>
    </font>
    <font>
      <sz val="12"/>
      <color rgb="FFF10D0C"/>
      <name val="Bahnschrift SemiBold"/>
      <family val="2"/>
    </font>
    <font>
      <sz val="12"/>
      <color rgb="FF3465A4"/>
      <name val="Bahnschrift SemiBold"/>
      <family val="2"/>
    </font>
    <font>
      <sz val="12"/>
      <color rgb="FF069A2E"/>
      <name val="Bahnschrift SemiBold"/>
      <family val="2"/>
    </font>
    <font>
      <sz val="12"/>
      <color rgb="FF5B277D"/>
      <name val="Bahnschrift SemiBold"/>
      <family val="2"/>
    </font>
    <font>
      <sz val="13"/>
      <color rgb="FF000000"/>
      <name val="Arial"/>
      <family val="2"/>
    </font>
    <font>
      <u val="single"/>
      <sz val="9"/>
      <color rgb="FF0000FF"/>
      <name val="Arial"/>
      <family val="2"/>
    </font>
    <font>
      <sz val="9"/>
      <name val="Arial"/>
      <family val="2"/>
    </font>
    <font>
      <sz val="9"/>
      <color rgb="FF000000"/>
      <name val="Arial"/>
      <family val="2"/>
    </font>
    <font>
      <b val="true"/>
      <sz val="11"/>
      <color rgb="FF000000"/>
      <name val="Arial"/>
      <family val="2"/>
    </font>
    <font>
      <sz val="20"/>
      <color rgb="FFFFFFFF"/>
      <name val="Arial"/>
      <family val="2"/>
    </font>
    <font>
      <sz val="10"/>
      <color rgb="FF111111"/>
      <name val="Arial"/>
      <family val="2"/>
    </font>
    <font>
      <sz val="10"/>
      <color rgb="FF5B277D"/>
      <name val="Arial"/>
      <family val="2"/>
    </font>
    <font>
      <sz val="8"/>
      <name val="Arial"/>
      <family val="2"/>
    </font>
    <font>
      <b val="true"/>
      <sz val="10"/>
      <color rgb="FF111111"/>
      <name val="Bahnschrift SemiBold"/>
      <family val="2"/>
    </font>
    <font>
      <b val="true"/>
      <sz val="10"/>
      <color rgb="FFFFFFFF"/>
      <name val="Bahnschrift SemiBold"/>
      <family val="2"/>
    </font>
    <font>
      <sz val="9"/>
      <color rgb="FF111111"/>
      <name val="Arial"/>
      <family val="2"/>
    </font>
    <font>
      <b val="true"/>
      <sz val="10"/>
      <color rgb="FF000000"/>
      <name val="Arial"/>
      <family val="2"/>
    </font>
    <font>
      <b val="true"/>
      <sz val="10"/>
      <color rgb="FFFFFFFF"/>
      <name val="Arial"/>
      <family val="2"/>
    </font>
    <font>
      <b val="true"/>
      <sz val="14"/>
      <name val="Arial"/>
      <family val="2"/>
    </font>
    <font>
      <b val="true"/>
      <sz val="10"/>
      <color rgb="FFF10D0C"/>
      <name val="Arial"/>
      <family val="2"/>
    </font>
    <font>
      <b val="true"/>
      <sz val="9"/>
      <color rgb="FF000000"/>
      <name val="Arial"/>
      <family val="2"/>
    </font>
    <font>
      <b val="true"/>
      <sz val="8"/>
      <color rgb="FF000000"/>
      <name val="Arial"/>
      <family val="2"/>
    </font>
    <font>
      <sz val="9.5"/>
      <color rgb="FF000000"/>
      <name val="Arial"/>
      <family val="2"/>
    </font>
    <font>
      <sz val="9.5"/>
      <name val="Arial"/>
      <family val="2"/>
    </font>
    <font>
      <sz val="22"/>
      <color rgb="FFFFFFFF"/>
      <name val="Arial"/>
      <family val="2"/>
    </font>
    <font>
      <u val="single"/>
      <sz val="8.5"/>
      <color rgb="FF336887"/>
      <name val="Arial"/>
      <family val="2"/>
    </font>
    <font>
      <b val="true"/>
      <u val="single"/>
      <sz val="10"/>
      <color rgb="FF336887"/>
      <name val="Arial"/>
      <family val="2"/>
    </font>
    <font>
      <b val="true"/>
      <sz val="10"/>
      <color rgb="FFFF0000"/>
      <name val="Arial"/>
      <family val="2"/>
    </font>
    <font>
      <b val="true"/>
      <sz val="10"/>
      <name val="Arial"/>
      <family val="0"/>
    </font>
    <font>
      <sz val="13"/>
      <color rgb="FFF10D0C"/>
      <name val="Arial Black"/>
      <family val="2"/>
    </font>
    <font>
      <u val="single"/>
      <sz val="10"/>
      <color rgb="FF0000FF"/>
      <name val="Arial"/>
      <family val="2"/>
    </font>
    <font>
      <sz val="11"/>
      <name val="Arial"/>
      <family val="2"/>
    </font>
    <font>
      <sz val="10"/>
      <color rgb="FF0000FF"/>
      <name val="Arial"/>
      <family val="2"/>
    </font>
    <font>
      <sz val="12"/>
      <name val="Arial"/>
      <family val="2"/>
    </font>
    <font>
      <sz val="11"/>
      <name val="Times New Roman"/>
      <family val="1"/>
    </font>
    <font>
      <b val="true"/>
      <strike val="true"/>
      <sz val="10"/>
      <name val="Arial"/>
      <family val="2"/>
    </font>
    <font>
      <strike val="true"/>
      <sz val="10"/>
      <name val="Arial"/>
      <family val="2"/>
    </font>
    <font>
      <b val="true"/>
      <sz val="10"/>
      <color rgb="FF0000FF"/>
      <name val="Arial"/>
      <family val="2"/>
    </font>
  </fonts>
  <fills count="38">
    <fill>
      <patternFill patternType="none"/>
    </fill>
    <fill>
      <patternFill patternType="gray125"/>
    </fill>
    <fill>
      <patternFill patternType="solid">
        <fgColor rgb="FFFF4000"/>
        <bgColor rgb="FFFF420E"/>
      </patternFill>
    </fill>
    <fill>
      <patternFill patternType="solid">
        <fgColor rgb="FFFF0000"/>
        <bgColor rgb="FFF10D0C"/>
      </patternFill>
    </fill>
    <fill>
      <patternFill patternType="solid">
        <fgColor rgb="FF000000"/>
        <bgColor rgb="FF111111"/>
      </patternFill>
    </fill>
    <fill>
      <patternFill patternType="solid">
        <fgColor rgb="FF00A933"/>
        <bgColor rgb="FF069A2E"/>
      </patternFill>
    </fill>
    <fill>
      <patternFill patternType="solid">
        <fgColor rgb="FF666666"/>
        <bgColor rgb="FF6B5E9B"/>
      </patternFill>
    </fill>
    <fill>
      <patternFill patternType="solid">
        <fgColor rgb="FFFFFFFF"/>
        <bgColor rgb="FFEEEEEE"/>
      </patternFill>
    </fill>
    <fill>
      <patternFill patternType="solid">
        <fgColor rgb="FFFFDE59"/>
        <bgColor rgb="FFFFD320"/>
      </patternFill>
    </fill>
    <fill>
      <patternFill patternType="solid">
        <fgColor rgb="FF808080"/>
        <bgColor rgb="FF666666"/>
      </patternFill>
    </fill>
    <fill>
      <patternFill patternType="solid">
        <fgColor rgb="FF1C1C1C"/>
        <bgColor rgb="FF111111"/>
      </patternFill>
    </fill>
    <fill>
      <patternFill patternType="solid">
        <fgColor rgb="FF8C186A"/>
        <bgColor rgb="FF5B277D"/>
      </patternFill>
    </fill>
    <fill>
      <patternFill patternType="solid">
        <fgColor rgb="FFB2B2B2"/>
        <bgColor rgb="FFB3B3B3"/>
      </patternFill>
    </fill>
    <fill>
      <patternFill patternType="solid">
        <fgColor rgb="FFCCCCCC"/>
        <bgColor rgb="FFC0C0C0"/>
      </patternFill>
    </fill>
    <fill>
      <patternFill patternType="solid">
        <fgColor rgb="FFEA7500"/>
        <bgColor rgb="FFFF950E"/>
      </patternFill>
    </fill>
    <fill>
      <patternFill patternType="solid">
        <fgColor rgb="FFFFE994"/>
        <bgColor rgb="FFFFDE59"/>
      </patternFill>
    </fill>
    <fill>
      <patternFill patternType="solid">
        <fgColor rgb="FFDDDDDD"/>
        <bgColor rgb="FFDEE7E5"/>
      </patternFill>
    </fill>
    <fill>
      <patternFill patternType="solid">
        <fgColor rgb="FFDEE6EF"/>
        <bgColor rgb="FFDEE7E5"/>
      </patternFill>
    </fill>
    <fill>
      <patternFill patternType="solid">
        <fgColor rgb="FF77BC65"/>
        <bgColor rgb="FF729FCF"/>
      </patternFill>
    </fill>
    <fill>
      <patternFill patternType="solid">
        <fgColor rgb="FFFFD7D7"/>
        <bgColor rgb="FFDDDDDD"/>
      </patternFill>
    </fill>
    <fill>
      <patternFill patternType="solid">
        <fgColor rgb="FF729FCF"/>
        <bgColor rgb="FF5983B0"/>
      </patternFill>
    </fill>
    <fill>
      <patternFill patternType="solid">
        <fgColor rgb="FF127622"/>
        <bgColor rgb="FF168253"/>
      </patternFill>
    </fill>
    <fill>
      <patternFill patternType="solid">
        <fgColor rgb="FFB85C00"/>
        <bgColor rgb="FFBE480A"/>
      </patternFill>
    </fill>
    <fill>
      <patternFill patternType="solid">
        <fgColor rgb="FFE8A202"/>
        <bgColor rgb="FFFF950E"/>
      </patternFill>
    </fill>
    <fill>
      <patternFill patternType="solid">
        <fgColor rgb="FFE0C2CD"/>
        <bgColor rgb="FFCCCCCC"/>
      </patternFill>
    </fill>
    <fill>
      <patternFill patternType="solid">
        <fgColor rgb="FFBE480A"/>
        <bgColor rgb="FFB85C00"/>
      </patternFill>
    </fill>
    <fill>
      <patternFill patternType="solid">
        <fgColor rgb="FFEEEEEE"/>
        <bgColor rgb="FFEAEAEA"/>
      </patternFill>
    </fill>
    <fill>
      <patternFill patternType="solid">
        <fgColor rgb="FF6B5E9B"/>
        <bgColor rgb="FF666666"/>
      </patternFill>
    </fill>
    <fill>
      <patternFill patternType="solid">
        <fgColor rgb="FF333328"/>
        <bgColor rgb="FF1C1C1C"/>
      </patternFill>
    </fill>
    <fill>
      <patternFill patternType="solid">
        <fgColor rgb="FFC0C0C0"/>
        <bgColor rgb="FFCCCCCC"/>
      </patternFill>
    </fill>
    <fill>
      <patternFill patternType="solid">
        <fgColor rgb="FF004269"/>
        <bgColor rgb="FF004586"/>
      </patternFill>
    </fill>
    <fill>
      <patternFill patternType="solid">
        <fgColor rgb="FF336887"/>
        <bgColor rgb="FF2A6099"/>
      </patternFill>
    </fill>
    <fill>
      <patternFill patternType="solid">
        <fgColor rgb="FFCCD9E1"/>
        <bgColor rgb="FFDDDDDD"/>
      </patternFill>
    </fill>
    <fill>
      <patternFill patternType="solid">
        <fgColor rgb="FF588003"/>
        <bgColor rgb="FF666666"/>
      </patternFill>
    </fill>
    <fill>
      <patternFill patternType="solid">
        <fgColor rgb="FFD9EDC1"/>
        <bgColor rgb="FFDEE7E5"/>
      </patternFill>
    </fill>
    <fill>
      <patternFill patternType="solid">
        <fgColor rgb="FFFFBF00"/>
        <bgColor rgb="FFFFD320"/>
      </patternFill>
    </fill>
    <fill>
      <patternFill patternType="solid">
        <fgColor rgb="FF5983B0"/>
        <bgColor rgb="FF808080"/>
      </patternFill>
    </fill>
    <fill>
      <patternFill patternType="solid">
        <fgColor rgb="FFDEE7E5"/>
        <bgColor rgb="FFDEE6EF"/>
      </patternFill>
    </fill>
  </fills>
  <borders count="44">
    <border diagonalUp="false" diagonalDown="false">
      <left/>
      <right/>
      <top/>
      <bottom/>
      <diagonal/>
    </border>
    <border diagonalUp="false" diagonalDown="false">
      <left style="thin"/>
      <right style="thin"/>
      <top style="thin"/>
      <bottom/>
      <diagonal/>
    </border>
    <border diagonalUp="false" diagonalDown="false">
      <left/>
      <right style="thin"/>
      <top/>
      <bottom/>
      <diagonal/>
    </border>
    <border diagonalUp="false" diagonalDown="false">
      <left style="thin"/>
      <right style="thin"/>
      <top style="thin"/>
      <bottom style="thin"/>
      <diagonal/>
    </border>
    <border diagonalUp="false" diagonalDown="false">
      <left/>
      <right style="thin"/>
      <top style="thin"/>
      <bottom/>
      <diagonal/>
    </border>
    <border diagonalUp="false" diagonalDown="false">
      <left style="thin"/>
      <right style="thin"/>
      <top/>
      <bottom/>
      <diagonal/>
    </border>
    <border diagonalUp="false" diagonalDown="false">
      <left style="thin"/>
      <right/>
      <top/>
      <bottom/>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color rgb="FFE0C2CD"/>
      </left>
      <right style="thin"/>
      <top style="thin">
        <color rgb="FFE0C2CD"/>
      </top>
      <bottom style="thin">
        <color rgb="FFE0C2CD"/>
      </bottom>
      <diagonal/>
    </border>
    <border diagonalUp="false" diagonalDown="false">
      <left style="hair">
        <color rgb="FFFF0000"/>
      </left>
      <right style="hair">
        <color rgb="FFFF0000"/>
      </right>
      <top style="hair">
        <color rgb="FFFF0000"/>
      </top>
      <bottom style="hair">
        <color rgb="FFFF0000"/>
      </bottom>
      <diagonal/>
    </border>
    <border diagonalUp="false" diagonalDown="false">
      <left style="hair">
        <color rgb="FF5983B0"/>
      </left>
      <right style="hair">
        <color rgb="FF5983B0"/>
      </right>
      <top style="hair">
        <color rgb="FF5983B0"/>
      </top>
      <bottom style="hair">
        <color rgb="FF5983B0"/>
      </bottom>
      <diagonal/>
    </border>
    <border diagonalUp="false" diagonalDown="false">
      <left style="hair">
        <color rgb="FF069A2E"/>
      </left>
      <right style="hair">
        <color rgb="FF069A2E"/>
      </right>
      <top style="hair">
        <color rgb="FF069A2E"/>
      </top>
      <bottom style="hair">
        <color rgb="FF069A2E"/>
      </bottom>
      <diagonal/>
    </border>
    <border diagonalUp="false" diagonalDown="false">
      <left style="hair">
        <color rgb="FF5B277D"/>
      </left>
      <right style="hair">
        <color rgb="FF5B277D"/>
      </right>
      <top style="hair">
        <color rgb="FF5B277D"/>
      </top>
      <bottom style="hair">
        <color rgb="FF5B277D"/>
      </bottom>
      <diagonal/>
    </border>
    <border diagonalUp="false" diagonalDown="false">
      <left style="thin">
        <color rgb="FFFF0000"/>
      </left>
      <right/>
      <top style="thin">
        <color rgb="FFFF0000"/>
      </top>
      <bottom style="thin">
        <color rgb="FFFF0000"/>
      </bottom>
      <diagonal/>
    </border>
    <border diagonalUp="false" diagonalDown="false">
      <left/>
      <right/>
      <top style="thin">
        <color rgb="FFFF0000"/>
      </top>
      <bottom style="thin">
        <color rgb="FFFF0000"/>
      </bottom>
      <diagonal/>
    </border>
    <border diagonalUp="false" diagonalDown="false">
      <left style="thin">
        <color rgb="FFFF0000"/>
      </left>
      <right style="thin">
        <color rgb="FFFF0000"/>
      </right>
      <top style="thin">
        <color rgb="FFFF0000"/>
      </top>
      <bottom style="thin">
        <color rgb="FFFF0000"/>
      </bottom>
      <diagonal/>
    </border>
    <border diagonalUp="false" diagonalDown="false">
      <left style="hair">
        <color rgb="FF3465A4"/>
      </left>
      <right style="hair">
        <color rgb="FF3465A4"/>
      </right>
      <top style="hair">
        <color rgb="FF3465A4"/>
      </top>
      <bottom/>
      <diagonal/>
    </border>
    <border diagonalUp="false" diagonalDown="false">
      <left/>
      <right/>
      <top style="hair">
        <color rgb="FF3465A4"/>
      </top>
      <bottom/>
      <diagonal/>
    </border>
    <border diagonalUp="false" diagonalDown="false">
      <left style="hair">
        <color rgb="FF168253"/>
      </left>
      <right style="hair">
        <color rgb="FF168253"/>
      </right>
      <top style="hair">
        <color rgb="FF168253"/>
      </top>
      <bottom/>
      <diagonal/>
    </border>
    <border diagonalUp="false" diagonalDown="false">
      <left style="thin">
        <color rgb="FF5B277D"/>
      </left>
      <right/>
      <top/>
      <bottom/>
      <diagonal/>
    </border>
    <border diagonalUp="false" diagonalDown="false">
      <left style="hair">
        <color rgb="FF3465A4"/>
      </left>
      <right style="hair">
        <color rgb="FF3465A4"/>
      </right>
      <top/>
      <bottom/>
      <diagonal/>
    </border>
    <border diagonalUp="false" diagonalDown="false">
      <left style="hair">
        <color rgb="FF3465A4"/>
      </left>
      <right style="hair">
        <color rgb="FF3465A4"/>
      </right>
      <top style="hair">
        <color rgb="FF3465A4"/>
      </top>
      <bottom style="hair">
        <color rgb="FF3465A4"/>
      </bottom>
      <diagonal/>
    </border>
    <border diagonalUp="false" diagonalDown="false">
      <left style="thin">
        <color rgb="FF5B277D"/>
      </left>
      <right style="thin">
        <color rgb="FF5B277D"/>
      </right>
      <top style="thin">
        <color rgb="FF5B277D"/>
      </top>
      <bottom style="thin">
        <color rgb="FF5B277D"/>
      </bottom>
      <diagonal/>
    </border>
    <border diagonalUp="false" diagonalDown="false">
      <left style="hair">
        <color rgb="FF168253"/>
      </left>
      <right/>
      <top/>
      <bottom/>
      <diagonal/>
    </border>
    <border diagonalUp="false" diagonalDown="false">
      <left style="hair">
        <color rgb="FF168253"/>
      </left>
      <right style="hair">
        <color rgb="FF168253"/>
      </right>
      <top style="hair">
        <color rgb="FF168253"/>
      </top>
      <bottom style="hair">
        <color rgb="FF168253"/>
      </bottom>
      <diagonal/>
    </border>
    <border diagonalUp="false" diagonalDown="false">
      <left/>
      <right style="hair">
        <color rgb="FF168253"/>
      </right>
      <top/>
      <bottom/>
      <diagonal/>
    </border>
    <border diagonalUp="false" diagonalDown="false">
      <left style="hair">
        <color rgb="FF3465A4"/>
      </left>
      <right style="hair">
        <color rgb="FF3465A4"/>
      </right>
      <top/>
      <bottom style="hair">
        <color rgb="FF3465A4"/>
      </bottom>
      <diagonal/>
    </border>
    <border diagonalUp="false" diagonalDown="false">
      <left style="hair">
        <color rgb="FF168253"/>
      </left>
      <right/>
      <top/>
      <bottom style="hair">
        <color rgb="FF168253"/>
      </bottom>
      <diagonal/>
    </border>
    <border diagonalUp="false" diagonalDown="false">
      <left/>
      <right style="hair">
        <color rgb="FF168253"/>
      </right>
      <top/>
      <bottom style="hair">
        <color rgb="FF168253"/>
      </bottom>
      <diagonal/>
    </border>
    <border diagonalUp="false" diagonalDown="false">
      <left style="thin">
        <color rgb="FF5B277D"/>
      </left>
      <right/>
      <top/>
      <bottom style="thin">
        <color rgb="FF5B277D"/>
      </bottom>
      <diagonal/>
    </border>
    <border diagonalUp="false" diagonalDown="false">
      <left/>
      <right/>
      <top/>
      <bottom style="thin"/>
      <diagonal/>
    </border>
    <border diagonalUp="false" diagonalDown="false">
      <left/>
      <right/>
      <top style="thin"/>
      <bottom/>
      <diagonal/>
    </border>
    <border diagonalUp="false" diagonalDown="false">
      <left style="thin"/>
      <right/>
      <top/>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style="thin"/>
      <right/>
      <top style="thin"/>
      <bottom/>
      <diagonal/>
    </border>
    <border diagonalUp="false" diagonalDown="false">
      <left style="thin">
        <color rgb="FFFF6D6D"/>
      </left>
      <right/>
      <top/>
      <bottom/>
      <diagonal/>
    </border>
    <border diagonalUp="false" diagonalDown="false">
      <left style="thin">
        <color rgb="FFFF0000"/>
      </left>
      <right/>
      <top/>
      <bottom/>
      <diagonal/>
    </border>
    <border diagonalUp="false" diagonalDown="false">
      <left style="thin">
        <color rgb="FFFFFFFF"/>
      </left>
      <right style="thin">
        <color rgb="FFFFFFFF"/>
      </right>
      <top/>
      <bottom style="thin">
        <color rgb="FFFFFFFF"/>
      </bottom>
      <diagonal/>
    </border>
    <border diagonalUp="false" diagonalDown="false">
      <left style="hair">
        <color rgb="FFB2B2B2"/>
      </left>
      <right style="hair">
        <color rgb="FFB2B2B2"/>
      </right>
      <top style="hair">
        <color rgb="FFB2B2B2"/>
      </top>
      <bottom style="hair">
        <color rgb="FFB2B2B2"/>
      </bottom>
      <diagonal/>
    </border>
    <border diagonalUp="false" diagonalDown="false">
      <left/>
      <right/>
      <top style="thick">
        <color rgb="FF588003"/>
      </top>
      <bottom style="thick">
        <color rgb="FF588003"/>
      </bottom>
      <diagonal/>
    </border>
    <border diagonalUp="false" diagonalDown="false">
      <left/>
      <right/>
      <top style="thick">
        <color rgb="FF004269"/>
      </top>
      <bottom style="thick">
        <color rgb="FF004269"/>
      </bottom>
      <diagonal/>
    </border>
  </borders>
  <cellStyleXfs count="4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8" fillId="0" borderId="0" applyFont="true" applyBorder="false" applyAlignment="true" applyProtection="false">
      <alignment horizontal="general" vertical="bottom" textRotation="0" wrapText="false" indent="0" shrinkToFit="false"/>
    </xf>
    <xf numFmtId="164" fontId="0" fillId="2"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center" vertical="top" textRotation="0" wrapText="true" indent="0" shrinkToFit="false"/>
    </xf>
    <xf numFmtId="164" fontId="0" fillId="0" borderId="0" applyFont="true" applyBorder="false" applyAlignment="true" applyProtection="false">
      <alignment horizontal="general" vertical="top" textRotation="0" wrapText="true" indent="0" shrinkToFit="false"/>
    </xf>
    <xf numFmtId="164" fontId="0" fillId="4" borderId="0" applyFont="true" applyBorder="false" applyAlignment="true" applyProtection="false">
      <alignment horizontal="general" vertical="bottom" textRotation="0" wrapText="false" indent="0" shrinkToFit="false"/>
    </xf>
    <xf numFmtId="164" fontId="4" fillId="4"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0" fillId="5"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0" fillId="5"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6" fillId="4" borderId="0" applyFont="true" applyBorder="false" applyAlignment="true" applyProtection="false">
      <alignment horizontal="general" vertical="bottom" textRotation="0" wrapText="false" indent="0" shrinkToFit="false"/>
    </xf>
    <xf numFmtId="164" fontId="6" fillId="4"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40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7" fillId="0" borderId="1" xfId="0" applyFont="true" applyBorder="true" applyAlignment="true" applyProtection="true">
      <alignment horizontal="center" vertical="bottom" textRotation="0" wrapText="true" indent="0" shrinkToFit="false"/>
      <protection locked="true" hidden="false"/>
    </xf>
    <xf numFmtId="165" fontId="4" fillId="0" borderId="0" xfId="0" applyFont="true" applyBorder="false" applyAlignment="true" applyProtection="true">
      <alignment horizontal="general" vertical="bottom" textRotation="0" wrapText="false" indent="0" shrinkToFit="false"/>
      <protection locked="true" hidden="false"/>
    </xf>
    <xf numFmtId="164" fontId="8" fillId="6" borderId="2" xfId="0" applyFont="true" applyBorder="true" applyAlignment="true" applyProtection="true">
      <alignment horizontal="center" vertical="center" textRotation="0" wrapText="false" indent="0" shrinkToFit="false"/>
      <protection locked="true" hidden="false"/>
    </xf>
    <xf numFmtId="165" fontId="4" fillId="7" borderId="0" xfId="0" applyFont="true" applyBorder="false" applyAlignment="true" applyProtection="true">
      <alignment horizontal="general" vertical="bottom" textRotation="0" wrapText="false" indent="0" shrinkToFit="false"/>
      <protection locked="true" hidden="false"/>
    </xf>
    <xf numFmtId="164" fontId="0" fillId="0" borderId="3" xfId="0" applyFont="true" applyBorder="true" applyAlignment="true" applyProtection="true">
      <alignment horizontal="right" vertical="bottom" textRotation="0" wrapText="false" indent="0" shrinkToFit="false"/>
      <protection locked="true" hidden="false"/>
    </xf>
    <xf numFmtId="166" fontId="0" fillId="8" borderId="3" xfId="0" applyFont="true" applyBorder="true" applyAlignment="true" applyProtection="true">
      <alignment horizontal="center" vertical="bottom" textRotation="0" wrapText="false" indent="0" shrinkToFit="false"/>
      <protection locked="true" hidden="false"/>
    </xf>
    <xf numFmtId="164" fontId="9" fillId="0" borderId="4" xfId="0" applyFont="true" applyBorder="true" applyAlignment="true" applyProtection="true">
      <alignment horizontal="center" vertical="center" textRotation="0" wrapText="true" indent="0" shrinkToFit="false"/>
      <protection locked="true" hidden="false"/>
    </xf>
    <xf numFmtId="164" fontId="0" fillId="8" borderId="3" xfId="0" applyFont="true" applyBorder="true" applyAlignment="true" applyProtection="true">
      <alignment horizontal="center" vertical="bottom" textRotation="0" wrapText="false" indent="0" shrinkToFit="false"/>
      <protection locked="true" hidden="false"/>
    </xf>
    <xf numFmtId="167" fontId="0" fillId="8" borderId="3" xfId="0" applyFont="true" applyBorder="true" applyAlignment="true" applyProtection="true">
      <alignment horizontal="center" vertical="bottom" textRotation="0" wrapText="false" indent="0" shrinkToFit="false"/>
      <protection locked="true" hidden="false"/>
    </xf>
    <xf numFmtId="164" fontId="0" fillId="8" borderId="3" xfId="0" applyFont="false" applyBorder="true" applyAlignment="true" applyProtection="true">
      <alignment horizontal="center" vertical="bottom" textRotation="0" wrapText="false" indent="0" shrinkToFit="false"/>
      <protection locked="true" hidden="false"/>
    </xf>
    <xf numFmtId="164" fontId="9" fillId="0" borderId="3" xfId="0" applyFont="true" applyBorder="true" applyAlignment="true" applyProtection="true">
      <alignment horizontal="center" vertical="bottom" textRotation="0" wrapText="false" indent="0" shrinkToFit="false"/>
      <protection locked="true" hidden="false"/>
    </xf>
    <xf numFmtId="164" fontId="9" fillId="0" borderId="3" xfId="0" applyFont="true" applyBorder="true" applyAlignment="true" applyProtection="true">
      <alignment horizontal="center" vertical="center" textRotation="0" wrapText="true" indent="0" shrinkToFit="false"/>
      <protection locked="true" hidden="false"/>
    </xf>
    <xf numFmtId="165" fontId="0" fillId="0" borderId="3" xfId="0" applyFont="true" applyBorder="true" applyAlignment="true" applyProtection="true">
      <alignment horizontal="center" vertical="bottom" textRotation="0" wrapText="false" indent="0" shrinkToFit="false"/>
      <protection locked="true" hidden="false"/>
    </xf>
    <xf numFmtId="165" fontId="0" fillId="0" borderId="3" xfId="0" applyFont="false" applyBorder="true" applyAlignment="true" applyProtection="true">
      <alignment horizontal="center" vertical="bottom" textRotation="0" wrapText="false" indent="0" shrinkToFit="false"/>
      <protection locked="true" hidden="false"/>
    </xf>
    <xf numFmtId="164" fontId="0" fillId="0" borderId="2" xfId="0" applyFont="true" applyBorder="true" applyAlignment="true" applyProtection="true">
      <alignment horizontal="right" vertical="bottom" textRotation="0" wrapText="false" indent="0" shrinkToFit="false"/>
      <protection locked="true" hidden="false"/>
    </xf>
    <xf numFmtId="164" fontId="0" fillId="0" borderId="0" xfId="0" applyFont="true" applyBorder="true" applyAlignment="true" applyProtection="true">
      <alignment horizontal="center" vertical="bottom" textRotation="0" wrapText="false" indent="0" shrinkToFit="false"/>
      <protection locked="true" hidden="false"/>
    </xf>
    <xf numFmtId="164" fontId="10" fillId="9" borderId="5" xfId="0" applyFont="true" applyBorder="true" applyAlignment="true" applyProtection="true">
      <alignment horizontal="center" vertical="center" textRotation="0" wrapText="false" indent="0" shrinkToFit="false"/>
      <protection locked="true" hidden="false"/>
    </xf>
    <xf numFmtId="165" fontId="11" fillId="0" borderId="0" xfId="0" applyFont="true" applyBorder="true" applyAlignment="true" applyProtection="true">
      <alignment horizontal="center" vertical="bottom" textRotation="0" wrapText="false" indent="0" shrinkToFit="false"/>
      <protection locked="true" hidden="false"/>
    </xf>
    <xf numFmtId="164" fontId="12" fillId="6" borderId="5" xfId="0" applyFont="true" applyBorder="true" applyAlignment="true" applyProtection="true">
      <alignment horizontal="center" vertical="bottom" textRotation="0" wrapText="true" indent="0" shrinkToFit="false"/>
      <protection locked="true" hidden="false"/>
    </xf>
    <xf numFmtId="168" fontId="13" fillId="8" borderId="3" xfId="0" applyFont="true" applyBorder="true" applyAlignment="true" applyProtection="true">
      <alignment horizontal="general" vertical="bottom" textRotation="0" wrapText="false" indent="0" shrinkToFit="false"/>
      <protection locked="true" hidden="false"/>
    </xf>
    <xf numFmtId="169" fontId="14" fillId="0" borderId="3" xfId="0" applyFont="true" applyBorder="true" applyAlignment="true" applyProtection="true">
      <alignment horizontal="center" vertical="center" textRotation="0" wrapText="true" indent="0" shrinkToFit="false"/>
      <protection locked="true" hidden="false"/>
    </xf>
    <xf numFmtId="164" fontId="14" fillId="0" borderId="3" xfId="0" applyFont="true" applyBorder="true" applyAlignment="true" applyProtection="true">
      <alignment horizontal="center" vertical="center" textRotation="0" wrapText="true" indent="0" shrinkToFit="false"/>
      <protection locked="true" hidden="false"/>
    </xf>
    <xf numFmtId="164" fontId="15" fillId="7" borderId="3" xfId="0" applyFont="true" applyBorder="true" applyAlignment="true" applyProtection="true">
      <alignment horizontal="center" vertical="center" textRotation="0" wrapText="true" indent="0" shrinkToFit="false"/>
      <protection locked="true" hidden="false"/>
    </xf>
    <xf numFmtId="169" fontId="16" fillId="0" borderId="3" xfId="0" applyFont="true" applyBorder="true" applyAlignment="true" applyProtection="true">
      <alignment horizontal="center" vertical="center" textRotation="0" wrapText="true" indent="0" shrinkToFit="false"/>
      <protection locked="true" hidden="false"/>
    </xf>
    <xf numFmtId="164" fontId="8" fillId="8" borderId="3" xfId="0" applyFont="true" applyBorder="true" applyAlignment="true" applyProtection="true">
      <alignment horizontal="general" vertical="bottom" textRotation="0" wrapText="false" indent="0" shrinkToFit="false"/>
      <protection locked="true" hidden="false"/>
    </xf>
    <xf numFmtId="164" fontId="0" fillId="0" borderId="3" xfId="0" applyFont="true" applyBorder="true" applyAlignment="true" applyProtection="true">
      <alignment horizontal="center" vertical="bottom" textRotation="0" wrapText="false" indent="0" shrinkToFit="false"/>
      <protection locked="true" hidden="false"/>
    </xf>
    <xf numFmtId="164" fontId="0" fillId="0" borderId="3" xfId="0" applyFont="true" applyBorder="true" applyAlignment="true" applyProtection="true">
      <alignment horizontal="general" vertical="bottom" textRotation="0" wrapText="false" indent="0" shrinkToFit="false"/>
      <protection locked="true" hidden="false"/>
    </xf>
    <xf numFmtId="170" fontId="13" fillId="8" borderId="3" xfId="0" applyFont="true" applyBorder="true" applyAlignment="true" applyProtection="true">
      <alignment horizontal="general" vertical="bottom" textRotation="0" wrapText="false" indent="0" shrinkToFit="false"/>
      <protection locked="true" hidden="false"/>
    </xf>
    <xf numFmtId="171" fontId="16" fillId="0" borderId="3" xfId="0" applyFont="true" applyBorder="true" applyAlignment="true" applyProtection="true">
      <alignment horizontal="center" vertical="center" textRotation="0" wrapText="true" indent="0" shrinkToFit="false"/>
      <protection locked="true" hidden="false"/>
    </xf>
    <xf numFmtId="171" fontId="13" fillId="8" borderId="3" xfId="0" applyFont="true" applyBorder="true" applyAlignment="true" applyProtection="true">
      <alignment horizontal="general" vertical="bottom" textRotation="0" wrapText="false" indent="0" shrinkToFit="false"/>
      <protection locked="true" hidden="false"/>
    </xf>
    <xf numFmtId="171" fontId="14" fillId="0" borderId="3" xfId="0" applyFont="true" applyBorder="true" applyAlignment="true" applyProtection="true">
      <alignment horizontal="center" vertical="center" textRotation="0" wrapText="true" indent="0" shrinkToFit="false"/>
      <protection locked="true" hidden="false"/>
    </xf>
    <xf numFmtId="168" fontId="13" fillId="8" borderId="3" xfId="0" applyFont="true" applyBorder="true" applyAlignment="true" applyProtection="true">
      <alignment horizontal="general" vertical="center" textRotation="0" wrapText="true" indent="0" shrinkToFit="false"/>
      <protection locked="true" hidden="false"/>
    </xf>
    <xf numFmtId="168" fontId="16" fillId="0" borderId="3" xfId="0" applyFont="true" applyBorder="true" applyAlignment="true" applyProtection="true">
      <alignment horizontal="center" vertical="center" textRotation="0" wrapText="true" indent="0" shrinkToFit="false"/>
      <protection locked="true" hidden="false"/>
    </xf>
    <xf numFmtId="171" fontId="13" fillId="8" borderId="3" xfId="0" applyFont="true" applyBorder="true" applyAlignment="true" applyProtection="true">
      <alignment horizontal="general" vertical="center" textRotation="0" wrapText="true" indent="0" shrinkToFit="false"/>
      <protection locked="true" hidden="false"/>
    </xf>
    <xf numFmtId="164" fontId="4" fillId="0" borderId="6" xfId="0" applyFont="true" applyBorder="true" applyAlignment="true" applyProtection="true">
      <alignment horizontal="general" vertical="bottom" textRotation="0" wrapText="false" indent="0" shrinkToFit="false"/>
      <protection locked="true" hidden="false"/>
    </xf>
    <xf numFmtId="164" fontId="0" fillId="6" borderId="3" xfId="0" applyFont="true" applyBorder="true" applyAlignment="true" applyProtection="true">
      <alignment horizontal="center" vertical="center" textRotation="0" wrapText="true" indent="0" shrinkToFit="false"/>
      <protection locked="true" hidden="false"/>
    </xf>
    <xf numFmtId="165" fontId="0" fillId="0" borderId="3" xfId="0" applyFont="true" applyBorder="true" applyAlignment="true" applyProtection="true">
      <alignment horizontal="center" vertical="bottom" textRotation="0" wrapText="true" indent="0" shrinkToFit="false"/>
      <protection locked="true" hidden="false"/>
    </xf>
    <xf numFmtId="167" fontId="0" fillId="0" borderId="3" xfId="0" applyFont="false" applyBorder="true" applyAlignment="true" applyProtection="true">
      <alignment horizontal="center" vertical="bottom" textRotation="0" wrapText="false" indent="0" shrinkToFit="false"/>
      <protection locked="true" hidden="false"/>
    </xf>
    <xf numFmtId="172" fontId="9" fillId="0" borderId="3" xfId="0" applyFont="true" applyBorder="true" applyAlignment="true" applyProtection="true">
      <alignment horizontal="center" vertical="bottom" textRotation="0" wrapText="false" indent="0" shrinkToFit="false"/>
      <protection locked="true" hidden="false"/>
    </xf>
    <xf numFmtId="165" fontId="4" fillId="0" borderId="6" xfId="0" applyFont="true" applyBorder="true" applyAlignment="true" applyProtection="true">
      <alignment horizontal="general" vertical="bottom" textRotation="0" wrapText="false" indent="0" shrinkToFit="false"/>
      <protection locked="true" hidden="false"/>
    </xf>
    <xf numFmtId="164" fontId="0" fillId="6" borderId="6" xfId="0" applyFont="true" applyBorder="true" applyAlignment="true" applyProtection="true">
      <alignment horizontal="center" vertical="center" textRotation="0" wrapText="false" indent="0" shrinkToFit="false"/>
      <protection locked="true" hidden="false"/>
    </xf>
    <xf numFmtId="164" fontId="0" fillId="6" borderId="2" xfId="0" applyFont="true" applyBorder="true" applyAlignment="true" applyProtection="true">
      <alignment horizontal="center" vertical="center" textRotation="0" wrapText="false" indent="0" shrinkToFit="false"/>
      <protection locked="true" hidden="false"/>
    </xf>
    <xf numFmtId="165" fontId="0" fillId="0" borderId="3" xfId="0" applyFont="false" applyBorder="true" applyAlignment="true" applyProtection="true">
      <alignment horizontal="center" vertical="center" textRotation="0" wrapText="false" indent="0" shrinkToFit="false"/>
      <protection locked="true" hidden="false"/>
    </xf>
    <xf numFmtId="164" fontId="0" fillId="10" borderId="6" xfId="0" applyFont="false" applyBorder="true" applyAlignment="true" applyProtection="true">
      <alignment horizontal="general" vertical="bottom" textRotation="0" wrapText="false" indent="0" shrinkToFit="false"/>
      <protection locked="true" hidden="false"/>
    </xf>
    <xf numFmtId="164" fontId="0" fillId="10" borderId="0" xfId="0" applyFont="false" applyBorder="false" applyAlignment="true" applyProtection="true">
      <alignment horizontal="general" vertical="bottom" textRotation="0" wrapText="false" indent="0" shrinkToFit="false"/>
      <protection locked="true" hidden="false"/>
    </xf>
    <xf numFmtId="164" fontId="0" fillId="10" borderId="2" xfId="0" applyFont="false" applyBorder="true" applyAlignment="true" applyProtection="true">
      <alignment horizontal="general" vertical="bottom" textRotation="0" wrapText="false" indent="0" shrinkToFit="false"/>
      <protection locked="true" hidden="false"/>
    </xf>
    <xf numFmtId="164" fontId="0" fillId="0" borderId="7" xfId="0" applyFont="false" applyBorder="true" applyAlignment="true" applyProtection="true">
      <alignment horizontal="general" vertical="bottom" textRotation="0" wrapText="false" indent="0" shrinkToFit="false"/>
      <protection locked="true" hidden="false"/>
    </xf>
    <xf numFmtId="164" fontId="0" fillId="0" borderId="8" xfId="0" applyFont="true" applyBorder="true" applyAlignment="true" applyProtection="true">
      <alignment horizontal="center" vertical="center" textRotation="0" wrapText="false" indent="0" shrinkToFit="false"/>
      <protection locked="true" hidden="false"/>
    </xf>
    <xf numFmtId="164" fontId="0" fillId="0" borderId="9" xfId="0" applyFont="false" applyBorder="true" applyAlignment="true" applyProtection="true">
      <alignment horizontal="general" vertical="bottom" textRotation="0" wrapText="false" indent="0" shrinkToFit="false"/>
      <protection locked="true" hidden="false"/>
    </xf>
    <xf numFmtId="164" fontId="0" fillId="0" borderId="3" xfId="0" applyFont="true" applyBorder="true" applyAlignment="true" applyProtection="true">
      <alignment horizontal="center" vertical="center" textRotation="0" wrapText="true" indent="0" shrinkToFit="false"/>
      <protection locked="true" hidden="false"/>
    </xf>
    <xf numFmtId="165" fontId="0" fillId="8" borderId="3" xfId="0" applyFont="false" applyBorder="true" applyAlignment="true" applyProtection="true">
      <alignment horizontal="center" vertical="center" textRotation="0" wrapText="false" indent="0" shrinkToFit="false"/>
      <protection locked="true" hidden="false"/>
    </xf>
    <xf numFmtId="173" fontId="0" fillId="0" borderId="3" xfId="0" applyFont="false" applyBorder="true" applyAlignment="true" applyProtection="true">
      <alignment horizontal="center" vertical="center" textRotation="0" wrapText="false" indent="0" shrinkToFit="false"/>
      <protection locked="true" hidden="false"/>
    </xf>
    <xf numFmtId="164" fontId="0" fillId="0" borderId="3" xfId="0" applyFont="true" applyBorder="true" applyAlignment="true" applyProtection="true">
      <alignment horizontal="center" vertical="center" textRotation="0" wrapText="false" indent="0" shrinkToFit="false"/>
      <protection locked="true" hidden="false"/>
    </xf>
    <xf numFmtId="165" fontId="0" fillId="0" borderId="3" xfId="0" applyFont="false" applyBorder="true" applyAlignment="true" applyProtection="true">
      <alignment horizontal="center" vertical="center" textRotation="0" wrapText="true" indent="0" shrinkToFit="false"/>
      <protection locked="true" hidden="false"/>
    </xf>
    <xf numFmtId="164" fontId="0" fillId="8" borderId="3" xfId="0" applyFont="false" applyBorder="true" applyAlignment="true" applyProtection="true">
      <alignment horizontal="center" vertical="center" textRotation="0" wrapText="false" indent="0" shrinkToFit="false"/>
      <protection locked="true" hidden="false"/>
    </xf>
    <xf numFmtId="164" fontId="17" fillId="11" borderId="0"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72" fontId="11" fillId="0" borderId="0" xfId="0" applyFont="true" applyBorder="false" applyAlignment="true" applyProtection="true">
      <alignment horizontal="general" vertical="bottom" textRotation="0" wrapText="false" indent="0" shrinkToFit="false"/>
      <protection locked="true" hidden="false"/>
    </xf>
    <xf numFmtId="165" fontId="11" fillId="0" borderId="0" xfId="0" applyFont="true" applyBorder="false" applyAlignment="true" applyProtection="true">
      <alignment horizontal="general" vertical="bottom" textRotation="0" wrapText="false" indent="0" shrinkToFit="false"/>
      <protection locked="true" hidden="false"/>
    </xf>
    <xf numFmtId="164" fontId="11" fillId="0" borderId="0" xfId="0" applyFont="true" applyBorder="false" applyAlignment="true" applyProtection="true">
      <alignment horizontal="general" vertical="bottom" textRotation="0" wrapText="true" indent="0" shrinkToFit="false"/>
      <protection locked="true" hidden="false"/>
    </xf>
    <xf numFmtId="173" fontId="11" fillId="0" borderId="0" xfId="0" applyFont="true" applyBorder="false" applyAlignment="true" applyProtection="true">
      <alignment horizontal="general" vertical="bottom" textRotation="0" wrapText="false" indent="0" shrinkToFit="false"/>
      <protection locked="true" hidden="false"/>
    </xf>
    <xf numFmtId="171" fontId="18" fillId="0" borderId="0" xfId="0" applyFont="true" applyBorder="false" applyAlignment="true" applyProtection="true">
      <alignment horizontal="general" vertical="bottom" textRotation="0" wrapText="true" indent="0" shrinkToFit="false"/>
      <protection locked="true" hidden="false"/>
    </xf>
    <xf numFmtId="174" fontId="11" fillId="0" borderId="0" xfId="0" applyFont="true" applyBorder="false" applyAlignment="true" applyProtection="true">
      <alignment horizontal="general" vertical="bottom" textRotation="0" wrapText="false" indent="0" shrinkToFit="false"/>
      <protection locked="true" hidden="false"/>
    </xf>
    <xf numFmtId="175" fontId="11" fillId="0" borderId="0" xfId="0" applyFont="true" applyBorder="false" applyAlignment="true" applyProtection="true">
      <alignment horizontal="general" vertical="bottom" textRotation="0" wrapText="false" indent="0" shrinkToFit="false"/>
      <protection locked="true" hidden="false"/>
    </xf>
    <xf numFmtId="164" fontId="4" fillId="0" borderId="0" xfId="40" applyFont="true" applyBorder="false" applyAlignment="true" applyProtection="true">
      <alignment horizontal="general" vertical="bottom" textRotation="0" wrapText="false" indent="0" shrinkToFit="false"/>
      <protection locked="true" hidden="false"/>
    </xf>
    <xf numFmtId="164" fontId="11" fillId="0" borderId="0" xfId="40" applyFont="true" applyBorder="false" applyAlignment="true" applyProtection="true">
      <alignment horizontal="general" vertical="bottom" textRotation="0" wrapText="false" indent="0" shrinkToFit="false"/>
      <protection locked="true" hidden="false"/>
    </xf>
    <xf numFmtId="164" fontId="4" fillId="4" borderId="0" xfId="4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19" fillId="12" borderId="1" xfId="40" applyFont="true" applyBorder="true" applyAlignment="true" applyProtection="true">
      <alignment horizontal="center" vertical="center" textRotation="0" wrapText="false" indent="0" shrinkToFit="false"/>
      <protection locked="true" hidden="false"/>
    </xf>
    <xf numFmtId="164" fontId="4" fillId="0" borderId="0" xfId="40" applyFont="true" applyBorder="true" applyAlignment="true" applyProtection="true">
      <alignment horizontal="center" vertical="center" textRotation="0" wrapText="true" indent="0" shrinkToFit="false"/>
      <protection locked="true" hidden="false"/>
    </xf>
    <xf numFmtId="164" fontId="4" fillId="13" borderId="6" xfId="40" applyFont="true" applyBorder="true" applyAlignment="true" applyProtection="true">
      <alignment horizontal="center" vertical="center" textRotation="0" wrapText="true" indent="0" shrinkToFit="false"/>
      <protection locked="true" hidden="false"/>
    </xf>
    <xf numFmtId="164" fontId="4" fillId="13" borderId="0" xfId="40" applyFont="true" applyBorder="false" applyAlignment="true" applyProtection="true">
      <alignment horizontal="general" vertical="bottom" textRotation="0" wrapText="false" indent="0" shrinkToFit="false"/>
      <protection locked="true" hidden="false"/>
    </xf>
    <xf numFmtId="164" fontId="4" fillId="14" borderId="0" xfId="40" applyFont="true" applyBorder="false" applyAlignment="true" applyProtection="true">
      <alignment horizontal="general" vertical="bottom" textRotation="0" wrapText="false" indent="0" shrinkToFit="false"/>
      <protection locked="true" hidden="false"/>
    </xf>
    <xf numFmtId="164" fontId="4" fillId="14" borderId="0" xfId="40" applyFont="true" applyBorder="false" applyAlignment="true" applyProtection="true">
      <alignment horizontal="center" vertical="center" textRotation="0" wrapText="false" indent="0" shrinkToFit="false"/>
      <protection locked="true" hidden="false"/>
    </xf>
    <xf numFmtId="164" fontId="20" fillId="4" borderId="0" xfId="40" applyFont="true" applyBorder="true" applyAlignment="true" applyProtection="true">
      <alignment horizontal="center" vertical="center" textRotation="0" wrapText="true" indent="0" shrinkToFit="false"/>
      <protection locked="true" hidden="false"/>
    </xf>
    <xf numFmtId="165" fontId="4" fillId="0" borderId="0" xfId="40" applyFont="true" applyBorder="false" applyAlignment="true" applyProtection="true">
      <alignment horizontal="general" vertical="bottom" textRotation="0" wrapText="false" indent="0" shrinkToFit="false"/>
      <protection locked="true" hidden="false"/>
    </xf>
    <xf numFmtId="165" fontId="11" fillId="0" borderId="0" xfId="40" applyFont="true" applyBorder="false" applyAlignment="true" applyProtection="true">
      <alignment horizontal="general" vertical="bottom" textRotation="0" wrapText="false" indent="0" shrinkToFit="false"/>
      <protection locked="true" hidden="false"/>
    </xf>
    <xf numFmtId="164" fontId="4" fillId="0" borderId="0" xfId="40" applyFont="false" applyBorder="false" applyAlignment="true" applyProtection="true">
      <alignment horizontal="general" vertical="bottom" textRotation="0" wrapText="false" indent="0" shrinkToFit="false"/>
      <protection locked="true" hidden="false"/>
    </xf>
    <xf numFmtId="164" fontId="21" fillId="0" borderId="5" xfId="40" applyFont="true" applyBorder="true" applyAlignment="true" applyProtection="true">
      <alignment horizontal="center" vertical="top" textRotation="0" wrapText="true" indent="0" shrinkToFit="false"/>
      <protection locked="true" hidden="false"/>
    </xf>
    <xf numFmtId="176" fontId="0" fillId="0" borderId="0" xfId="0" applyFont="true" applyBorder="false" applyAlignment="true" applyProtection="true">
      <alignment horizontal="general" vertical="bottom" textRotation="0" wrapText="false" indent="0" shrinkToFit="false"/>
      <protection locked="true" hidden="false"/>
    </xf>
    <xf numFmtId="164" fontId="22" fillId="0" borderId="0" xfId="40" applyFont="true" applyBorder="false" applyAlignment="true" applyProtection="true">
      <alignment horizontal="right" vertical="bottom" textRotation="0" wrapText="false" indent="0" shrinkToFit="false"/>
      <protection locked="true" hidden="false"/>
    </xf>
    <xf numFmtId="177" fontId="4" fillId="4" borderId="0" xfId="40" applyFont="true" applyBorder="false" applyAlignment="true" applyProtection="true">
      <alignment horizontal="general" vertical="bottom" textRotation="0" wrapText="false" indent="0" shrinkToFit="false"/>
      <protection locked="true" hidden="false"/>
    </xf>
    <xf numFmtId="164" fontId="4" fillId="13" borderId="6" xfId="40" applyFont="true" applyBorder="true" applyAlignment="true" applyProtection="true">
      <alignment horizontal="center" vertical="bottom" textRotation="0" wrapText="false" indent="0" shrinkToFit="false"/>
      <protection locked="true" hidden="false"/>
    </xf>
    <xf numFmtId="166" fontId="4" fillId="14" borderId="3" xfId="40" applyFont="true" applyBorder="true" applyAlignment="true" applyProtection="true">
      <alignment horizontal="center" vertical="center" textRotation="0" wrapText="false" indent="0" shrinkToFit="false"/>
      <protection locked="true" hidden="false"/>
    </xf>
    <xf numFmtId="165" fontId="4" fillId="14" borderId="3" xfId="40" applyFont="true" applyBorder="true" applyAlignment="true" applyProtection="true">
      <alignment horizontal="center" vertical="center" textRotation="0" wrapText="false" indent="0" shrinkToFit="false"/>
      <protection locked="true" hidden="false"/>
    </xf>
    <xf numFmtId="166" fontId="4" fillId="0" borderId="0" xfId="40" applyFont="true" applyBorder="false" applyAlignment="true" applyProtection="true">
      <alignment horizontal="general" vertical="bottom" textRotation="0" wrapText="false" indent="0" shrinkToFit="false"/>
      <protection locked="true" hidden="false"/>
    </xf>
    <xf numFmtId="164" fontId="0" fillId="15" borderId="10" xfId="40" applyFont="true" applyBorder="true" applyAlignment="true" applyProtection="true">
      <alignment horizontal="right" vertical="center" textRotation="0" wrapText="false" indent="0" shrinkToFit="true"/>
      <protection locked="true" hidden="false"/>
    </xf>
    <xf numFmtId="164" fontId="4" fillId="13" borderId="6" xfId="40" applyFont="true" applyBorder="true" applyAlignment="true" applyProtection="true">
      <alignment horizontal="general" vertical="bottom" textRotation="0" wrapText="false" indent="0" shrinkToFit="false"/>
      <protection locked="true" hidden="false"/>
    </xf>
    <xf numFmtId="164" fontId="23" fillId="16" borderId="11" xfId="40" applyFont="true" applyBorder="true" applyAlignment="true" applyProtection="true">
      <alignment horizontal="center" vertical="center" textRotation="0" wrapText="false" indent="0" shrinkToFit="false"/>
      <protection locked="true" hidden="false"/>
    </xf>
    <xf numFmtId="164" fontId="24" fillId="16" borderId="12" xfId="40" applyFont="true" applyBorder="true" applyAlignment="true" applyProtection="true">
      <alignment horizontal="center" vertical="center" textRotation="0" wrapText="false" indent="0" shrinkToFit="false"/>
      <protection locked="true" hidden="false"/>
    </xf>
    <xf numFmtId="164" fontId="25" fillId="16" borderId="13" xfId="40" applyFont="true" applyBorder="true" applyAlignment="true" applyProtection="true">
      <alignment horizontal="center" vertical="center" textRotation="0" wrapText="false" indent="0" shrinkToFit="false"/>
      <protection locked="true" hidden="false"/>
    </xf>
    <xf numFmtId="164" fontId="26" fillId="16" borderId="14" xfId="40" applyFont="true" applyBorder="true" applyAlignment="true" applyProtection="true">
      <alignment horizontal="center" vertical="center" textRotation="0" wrapText="false" indent="0" shrinkToFit="false"/>
      <protection locked="true" hidden="false"/>
    </xf>
    <xf numFmtId="164" fontId="27" fillId="13" borderId="6" xfId="40" applyFont="true" applyBorder="true" applyAlignment="true" applyProtection="true">
      <alignment horizontal="center" vertical="center" textRotation="0" wrapText="true" indent="0" shrinkToFit="false"/>
      <protection locked="true" hidden="false"/>
    </xf>
    <xf numFmtId="164" fontId="28" fillId="12" borderId="15" xfId="40" applyFont="true" applyBorder="true" applyAlignment="true" applyProtection="true">
      <alignment horizontal="general" vertical="bottom" textRotation="0" wrapText="false" indent="0" shrinkToFit="false"/>
      <protection locked="true" hidden="false"/>
    </xf>
    <xf numFmtId="164" fontId="29" fillId="12" borderId="16" xfId="40" applyFont="true" applyBorder="true" applyAlignment="true" applyProtection="true">
      <alignment horizontal="general" vertical="center" textRotation="0" wrapText="false" indent="0" shrinkToFit="false"/>
      <protection locked="true" hidden="false"/>
    </xf>
    <xf numFmtId="164" fontId="29" fillId="12" borderId="16" xfId="40" applyFont="true" applyBorder="true" applyAlignment="true" applyProtection="true">
      <alignment horizontal="right" vertical="center" textRotation="0" wrapText="false" indent="0" shrinkToFit="false"/>
      <protection locked="true" hidden="false"/>
    </xf>
    <xf numFmtId="167" fontId="0" fillId="15" borderId="17" xfId="40" applyFont="true" applyBorder="true" applyAlignment="true" applyProtection="true">
      <alignment horizontal="center" vertical="center" textRotation="0" wrapText="false" indent="0" shrinkToFit="true"/>
      <protection locked="false" hidden="false"/>
    </xf>
    <xf numFmtId="164" fontId="30" fillId="12" borderId="18" xfId="40" applyFont="true" applyBorder="true" applyAlignment="true" applyProtection="true">
      <alignment horizontal="right" vertical="center" textRotation="0" wrapText="false" indent="0" shrinkToFit="false"/>
      <protection locked="true" hidden="false"/>
    </xf>
    <xf numFmtId="165" fontId="0" fillId="15" borderId="19" xfId="0" applyFont="true" applyBorder="true" applyAlignment="true" applyProtection="true">
      <alignment horizontal="center" vertical="bottom" textRotation="0" wrapText="false" indent="0" shrinkToFit="false"/>
      <protection locked="false" hidden="false"/>
    </xf>
    <xf numFmtId="164" fontId="31" fillId="17" borderId="20" xfId="40" applyFont="true" applyBorder="true" applyAlignment="true" applyProtection="true">
      <alignment horizontal="center" vertical="top" textRotation="0" wrapText="true" indent="0" shrinkToFit="false"/>
      <protection locked="true" hidden="false"/>
    </xf>
    <xf numFmtId="164" fontId="4" fillId="12" borderId="21" xfId="40" applyFont="true" applyBorder="true" applyAlignment="true" applyProtection="true">
      <alignment horizontal="general" vertical="bottom" textRotation="0" wrapText="false" indent="0" shrinkToFit="false"/>
      <protection locked="true" hidden="false"/>
    </xf>
    <xf numFmtId="164" fontId="4" fillId="15" borderId="14" xfId="40" applyFont="true" applyBorder="true" applyAlignment="true" applyProtection="true">
      <alignment horizontal="center" vertical="bottom" textRotation="0" wrapText="false" indent="0" shrinkToFit="false"/>
      <protection locked="false" hidden="false"/>
    </xf>
    <xf numFmtId="164" fontId="0" fillId="18" borderId="2" xfId="0" applyFont="true" applyBorder="true" applyAlignment="true" applyProtection="true">
      <alignment horizontal="center" vertical="bottom" textRotation="0" wrapText="false" indent="0" shrinkToFit="false"/>
      <protection locked="true" hidden="false"/>
    </xf>
    <xf numFmtId="165" fontId="0" fillId="0" borderId="0" xfId="0" applyFont="true" applyBorder="false" applyAlignment="true" applyProtection="true">
      <alignment horizontal="general" vertical="bottom" textRotation="0" wrapText="false" indent="0" shrinkToFit="false"/>
      <protection locked="true" hidden="false"/>
    </xf>
    <xf numFmtId="178" fontId="11" fillId="11" borderId="0" xfId="40" applyFont="true" applyBorder="false" applyAlignment="true" applyProtection="true">
      <alignment horizontal="center" vertical="center" textRotation="0" wrapText="false" indent="0" shrinkToFit="false"/>
      <protection locked="true" hidden="false"/>
    </xf>
    <xf numFmtId="164" fontId="4" fillId="7" borderId="0" xfId="40" applyFont="true" applyBorder="false" applyAlignment="true" applyProtection="true">
      <alignment horizontal="general" vertical="bottom" textRotation="0" wrapText="false" indent="0" shrinkToFit="false"/>
      <protection locked="true" hidden="false"/>
    </xf>
    <xf numFmtId="164" fontId="30" fillId="12" borderId="22" xfId="40" applyFont="true" applyBorder="true" applyAlignment="true" applyProtection="true">
      <alignment horizontal="right" vertical="center" textRotation="0" wrapText="false" indent="0" shrinkToFit="false"/>
      <protection locked="true" hidden="false"/>
    </xf>
    <xf numFmtId="176" fontId="0" fillId="0" borderId="23" xfId="40" applyFont="true" applyBorder="true" applyAlignment="true" applyProtection="true">
      <alignment horizontal="center" vertical="center" textRotation="0" wrapText="false" indent="0" shrinkToFit="true"/>
      <protection locked="true" hidden="false"/>
    </xf>
    <xf numFmtId="166" fontId="4" fillId="7" borderId="14" xfId="40" applyFont="true" applyBorder="true" applyAlignment="true" applyProtection="true">
      <alignment horizontal="center" vertical="bottom" textRotation="0" wrapText="false" indent="0" shrinkToFit="false"/>
      <protection locked="true" hidden="false"/>
    </xf>
    <xf numFmtId="164" fontId="4" fillId="0" borderId="2" xfId="40" applyFont="true" applyBorder="true" applyAlignment="true" applyProtection="true">
      <alignment horizontal="center" vertical="bottom" textRotation="0" wrapText="false" indent="0" shrinkToFit="false"/>
      <protection locked="true" hidden="false"/>
    </xf>
    <xf numFmtId="165" fontId="0" fillId="0" borderId="0" xfId="0" applyFont="false" applyBorder="false" applyAlignment="true" applyProtection="true">
      <alignment horizontal="general" vertical="bottom" textRotation="0" wrapText="false" indent="0" shrinkToFit="false"/>
      <protection locked="true" hidden="false"/>
    </xf>
    <xf numFmtId="164" fontId="29" fillId="12" borderId="15" xfId="40" applyFont="true" applyBorder="true" applyAlignment="true" applyProtection="true">
      <alignment horizontal="general" vertical="bottom" textRotation="0" wrapText="false" indent="0" shrinkToFit="false"/>
      <protection locked="true" hidden="false"/>
    </xf>
    <xf numFmtId="179" fontId="0" fillId="15" borderId="17" xfId="40" applyFont="true" applyBorder="true" applyAlignment="true" applyProtection="true">
      <alignment horizontal="center" vertical="center" textRotation="0" wrapText="false" indent="0" shrinkToFit="true"/>
      <protection locked="false" hidden="false"/>
    </xf>
    <xf numFmtId="164" fontId="29" fillId="12" borderId="22" xfId="40" applyFont="true" applyBorder="true" applyAlignment="true" applyProtection="true">
      <alignment horizontal="right" vertical="center" textRotation="0" wrapText="false" indent="0" shrinkToFit="false"/>
      <protection locked="true" hidden="false"/>
    </xf>
    <xf numFmtId="176" fontId="0" fillId="7" borderId="23" xfId="40" applyFont="true" applyBorder="true" applyAlignment="true" applyProtection="true">
      <alignment horizontal="center" vertical="center" textRotation="0" wrapText="false" indent="0" shrinkToFit="true"/>
      <protection locked="true" hidden="false"/>
    </xf>
    <xf numFmtId="172" fontId="4" fillId="0" borderId="14" xfId="40" applyFont="true" applyBorder="true" applyAlignment="true" applyProtection="true">
      <alignment horizontal="center" vertical="bottom" textRotation="0" wrapText="false" indent="0" shrinkToFit="false"/>
      <protection locked="true" hidden="false"/>
    </xf>
    <xf numFmtId="164" fontId="0" fillId="0" borderId="2" xfId="0" applyFont="true" applyBorder="true" applyAlignment="true" applyProtection="true">
      <alignment horizontal="center" vertical="bottom" textRotation="0" wrapText="false" indent="0" shrinkToFit="false"/>
      <protection locked="true" hidden="false"/>
    </xf>
    <xf numFmtId="166" fontId="4" fillId="7" borderId="0" xfId="40" applyFont="true" applyBorder="false" applyAlignment="true" applyProtection="true">
      <alignment horizontal="left" vertical="bottom" textRotation="0" wrapText="false" indent="0" shrinkToFit="false"/>
      <protection locked="true" hidden="false"/>
    </xf>
    <xf numFmtId="166" fontId="0" fillId="15" borderId="17" xfId="40" applyFont="true" applyBorder="true" applyAlignment="true" applyProtection="true">
      <alignment horizontal="center" vertical="center" textRotation="0" wrapText="false" indent="0" shrinkToFit="true"/>
      <protection locked="false" hidden="false"/>
    </xf>
    <xf numFmtId="166" fontId="30" fillId="9" borderId="2" xfId="40" applyFont="true" applyBorder="true" applyAlignment="true" applyProtection="true">
      <alignment horizontal="center" vertical="center" textRotation="0" wrapText="false" indent="0" shrinkToFit="false"/>
      <protection locked="true" hidden="false"/>
    </xf>
    <xf numFmtId="164" fontId="0" fillId="9" borderId="0" xfId="0" applyFont="true" applyBorder="false" applyAlignment="true" applyProtection="true">
      <alignment horizontal="general" vertical="bottom" textRotation="0" wrapText="false" indent="0" shrinkToFit="false"/>
      <protection locked="true" hidden="false"/>
    </xf>
    <xf numFmtId="166" fontId="0" fillId="15" borderId="0" xfId="0" applyFont="true" applyBorder="false" applyAlignment="true" applyProtection="true">
      <alignment horizontal="general" vertical="bottom" textRotation="0" wrapText="false" indent="0" shrinkToFit="false"/>
      <protection locked="false" hidden="false"/>
    </xf>
    <xf numFmtId="164" fontId="4" fillId="14" borderId="3" xfId="40" applyFont="true" applyBorder="true" applyAlignment="true" applyProtection="true">
      <alignment horizontal="center" vertical="center" textRotation="0" wrapText="false" indent="0" shrinkToFit="false"/>
      <protection locked="true" hidden="false"/>
    </xf>
    <xf numFmtId="164" fontId="0" fillId="0" borderId="0" xfId="0" applyFont="true" applyBorder="false" applyAlignment="true" applyProtection="true">
      <alignment horizontal="center" vertical="bottom" textRotation="0" wrapText="false" indent="0" shrinkToFit="false"/>
      <protection locked="true" hidden="false"/>
    </xf>
    <xf numFmtId="164" fontId="29" fillId="19" borderId="3" xfId="40" applyFont="true" applyBorder="true" applyAlignment="true" applyProtection="true">
      <alignment horizontal="center" vertical="center" textRotation="0" wrapText="false" indent="0" shrinkToFit="true"/>
      <protection locked="true" hidden="false"/>
    </xf>
    <xf numFmtId="164" fontId="4" fillId="12" borderId="24" xfId="40" applyFont="true" applyBorder="true" applyAlignment="true" applyProtection="true">
      <alignment horizontal="center" vertical="bottom" textRotation="0" wrapText="false" indent="0" shrinkToFit="false"/>
      <protection locked="true" hidden="false"/>
    </xf>
    <xf numFmtId="166" fontId="4" fillId="20" borderId="24" xfId="40" applyFont="true" applyBorder="true" applyAlignment="true" applyProtection="true">
      <alignment horizontal="center" vertical="bottom" textRotation="0" wrapText="false" indent="0" shrinkToFit="false"/>
      <protection locked="true" hidden="false"/>
    </xf>
    <xf numFmtId="164" fontId="32" fillId="21" borderId="2" xfId="40" applyFont="true" applyBorder="true" applyAlignment="true" applyProtection="true">
      <alignment horizontal="center" vertical="center" textRotation="0" wrapText="true" indent="0" shrinkToFit="false"/>
      <protection locked="true" hidden="false"/>
    </xf>
    <xf numFmtId="164" fontId="29" fillId="19" borderId="15" xfId="40" applyFont="true" applyBorder="true" applyAlignment="true" applyProtection="true">
      <alignment horizontal="right" vertical="bottom" textRotation="0" wrapText="false" indent="0" shrinkToFit="false"/>
      <protection locked="true" hidden="false"/>
    </xf>
    <xf numFmtId="164" fontId="29" fillId="19" borderId="16" xfId="40" applyFont="true" applyBorder="true" applyAlignment="true" applyProtection="true">
      <alignment horizontal="right" vertical="center" textRotation="0" wrapText="false" indent="0" shrinkToFit="false"/>
      <protection locked="true" hidden="false"/>
    </xf>
    <xf numFmtId="165" fontId="0" fillId="15" borderId="17" xfId="40" applyFont="true" applyBorder="true" applyAlignment="true" applyProtection="true">
      <alignment horizontal="center" vertical="center" textRotation="0" wrapText="false" indent="0" shrinkToFit="true"/>
      <protection locked="false" hidden="false"/>
    </xf>
    <xf numFmtId="166" fontId="29" fillId="7" borderId="3" xfId="40" applyFont="true" applyBorder="true" applyAlignment="true" applyProtection="true">
      <alignment horizontal="center" vertical="center" textRotation="0" wrapText="false" indent="0" shrinkToFit="false"/>
      <protection locked="true" hidden="false"/>
    </xf>
    <xf numFmtId="164" fontId="4" fillId="12" borderId="21" xfId="40" applyFont="true" applyBorder="true" applyAlignment="true" applyProtection="true">
      <alignment horizontal="center" vertical="bottom" textRotation="0" wrapText="false" indent="0" shrinkToFit="false"/>
      <protection locked="true" hidden="false"/>
    </xf>
    <xf numFmtId="164" fontId="4" fillId="15" borderId="14" xfId="40" applyFont="true" applyBorder="true" applyAlignment="true" applyProtection="true">
      <alignment horizontal="center" vertical="center" textRotation="0" wrapText="false" indent="0" shrinkToFit="false"/>
      <protection locked="false" hidden="false"/>
    </xf>
    <xf numFmtId="164" fontId="0" fillId="19" borderId="15" xfId="0" applyFont="true" applyBorder="true" applyAlignment="true" applyProtection="true">
      <alignment horizontal="right" vertical="bottom" textRotation="0" wrapText="false" indent="0" shrinkToFit="false"/>
      <protection locked="true" hidden="false"/>
    </xf>
    <xf numFmtId="165" fontId="0" fillId="7" borderId="17" xfId="40" applyFont="true" applyBorder="true" applyAlignment="true" applyProtection="true">
      <alignment horizontal="center" vertical="center" textRotation="0" wrapText="false" indent="0" shrinkToFit="true"/>
      <protection locked="true" hidden="false"/>
    </xf>
    <xf numFmtId="173" fontId="0" fillId="0" borderId="23" xfId="40" applyFont="true" applyBorder="true" applyAlignment="true" applyProtection="true">
      <alignment horizontal="center" vertical="center" textRotation="0" wrapText="false" indent="0" shrinkToFit="true"/>
      <protection locked="true" hidden="false"/>
    </xf>
    <xf numFmtId="164" fontId="11" fillId="12" borderId="25" xfId="0" applyFont="true" applyBorder="true" applyAlignment="true" applyProtection="true">
      <alignment horizontal="general" vertical="bottom" textRotation="0" wrapText="false" indent="0" shrinkToFit="false"/>
      <protection locked="true" hidden="false"/>
    </xf>
    <xf numFmtId="179" fontId="4" fillId="15" borderId="26" xfId="40" applyFont="true" applyBorder="true" applyAlignment="true" applyProtection="true">
      <alignment horizontal="center" vertical="bottom" textRotation="0" wrapText="false" indent="0" shrinkToFit="false"/>
      <protection locked="false" hidden="false"/>
    </xf>
    <xf numFmtId="180" fontId="33" fillId="0" borderId="27" xfId="40" applyFont="true" applyBorder="true" applyAlignment="true" applyProtection="true">
      <alignment horizontal="center" vertical="bottom" textRotation="0" wrapText="true" indent="0" shrinkToFit="false"/>
      <protection locked="true" hidden="false"/>
    </xf>
    <xf numFmtId="176" fontId="4" fillId="0" borderId="2" xfId="40" applyFont="true" applyBorder="true" applyAlignment="true" applyProtection="true">
      <alignment horizontal="general" vertical="bottom" textRotation="0" wrapText="false" indent="0" shrinkToFit="false"/>
      <protection locked="true" hidden="false"/>
    </xf>
    <xf numFmtId="165" fontId="0" fillId="0" borderId="17" xfId="0" applyFont="false" applyBorder="true" applyAlignment="true" applyProtection="true">
      <alignment horizontal="center" vertical="bottom" textRotation="0" wrapText="false" indent="0" shrinkToFit="false"/>
      <protection locked="true" hidden="false"/>
    </xf>
    <xf numFmtId="164" fontId="29" fillId="19" borderId="3" xfId="40" applyFont="true" applyBorder="true" applyAlignment="true" applyProtection="true">
      <alignment horizontal="center" vertical="center" textRotation="0" wrapText="true" indent="0" shrinkToFit="true"/>
      <protection locked="true" hidden="false"/>
    </xf>
    <xf numFmtId="164" fontId="29" fillId="12" borderId="28" xfId="40" applyFont="true" applyBorder="true" applyAlignment="true" applyProtection="true">
      <alignment horizontal="right" vertical="center" textRotation="0" wrapText="true" indent="0" shrinkToFit="false"/>
      <protection locked="true" hidden="false"/>
    </xf>
    <xf numFmtId="165" fontId="4" fillId="0" borderId="23" xfId="40" applyFont="true" applyBorder="true" applyAlignment="true" applyProtection="true">
      <alignment horizontal="center" vertical="bottom" textRotation="0" wrapText="false" indent="0" shrinkToFit="false"/>
      <protection locked="true" hidden="false"/>
    </xf>
    <xf numFmtId="164" fontId="11" fillId="12" borderId="29" xfId="0" applyFont="true" applyBorder="true" applyAlignment="true" applyProtection="true">
      <alignment horizontal="right" vertical="bottom" textRotation="0" wrapText="false" indent="0" shrinkToFit="false"/>
      <protection locked="true" hidden="false"/>
    </xf>
    <xf numFmtId="176" fontId="4" fillId="20" borderId="26" xfId="40" applyFont="true" applyBorder="true" applyAlignment="true" applyProtection="true">
      <alignment horizontal="center" vertical="bottom" textRotation="0" wrapText="false" indent="0" shrinkToFit="false"/>
      <protection locked="false" hidden="false"/>
    </xf>
    <xf numFmtId="165" fontId="33" fillId="0" borderId="30" xfId="40" applyFont="true" applyBorder="true" applyAlignment="true" applyProtection="true">
      <alignment horizontal="center" vertical="bottom" textRotation="0" wrapText="false" indent="0" shrinkToFit="false"/>
      <protection locked="true" hidden="false"/>
    </xf>
    <xf numFmtId="166" fontId="0" fillId="0" borderId="0" xfId="0" applyFont="true" applyBorder="false" applyAlignment="true" applyProtection="true">
      <alignment horizontal="general" vertical="bottom" textRotation="0" wrapText="false" indent="0" shrinkToFit="false"/>
      <protection locked="true" hidden="false"/>
    </xf>
    <xf numFmtId="164" fontId="34" fillId="0" borderId="0" xfId="40" applyFont="true" applyBorder="false" applyAlignment="true" applyProtection="true">
      <alignment horizontal="general" vertical="bottom" textRotation="0" wrapText="false" indent="0" shrinkToFit="false"/>
      <protection locked="true" hidden="false"/>
    </xf>
    <xf numFmtId="165" fontId="35" fillId="12" borderId="15" xfId="40" applyFont="true" applyBorder="true" applyAlignment="true" applyProtection="true">
      <alignment horizontal="right" vertical="top" textRotation="0" wrapText="true" indent="0" shrinkToFit="false"/>
      <protection locked="true" hidden="false"/>
    </xf>
    <xf numFmtId="167" fontId="0" fillId="7" borderId="17" xfId="40" applyFont="true" applyBorder="true" applyAlignment="true" applyProtection="true">
      <alignment horizontal="center" vertical="center" textRotation="0" wrapText="false" indent="0" shrinkToFit="true"/>
      <protection locked="true" hidden="false"/>
    </xf>
    <xf numFmtId="165" fontId="36" fillId="7" borderId="3" xfId="0" applyFont="true" applyBorder="true" applyAlignment="true" applyProtection="true">
      <alignment horizontal="center" vertical="center" textRotation="0" wrapText="true" indent="0" shrinkToFit="false"/>
      <protection locked="true" hidden="false"/>
    </xf>
    <xf numFmtId="165" fontId="37" fillId="14" borderId="5" xfId="0" applyFont="true" applyBorder="true" applyAlignment="true" applyProtection="true">
      <alignment horizontal="center" vertical="top" textRotation="0" wrapText="true" indent="0" shrinkToFit="false"/>
      <protection locked="true" hidden="false"/>
    </xf>
    <xf numFmtId="165" fontId="4" fillId="7" borderId="2" xfId="40" applyFont="true" applyBorder="true" applyAlignment="true" applyProtection="true">
      <alignment horizontal="general" vertical="bottom" textRotation="0" wrapText="false" indent="0" shrinkToFit="false"/>
      <protection locked="true" hidden="false"/>
    </xf>
    <xf numFmtId="166" fontId="0" fillId="7" borderId="17" xfId="40" applyFont="true" applyBorder="true" applyAlignment="true" applyProtection="true">
      <alignment horizontal="center" vertical="center" textRotation="0" wrapText="false" indent="0" shrinkToFit="true"/>
      <protection locked="true" hidden="false"/>
    </xf>
    <xf numFmtId="165" fontId="36" fillId="19" borderId="3" xfId="0" applyFont="true" applyBorder="true" applyAlignment="true" applyProtection="true">
      <alignment horizontal="center" vertical="top" textRotation="0" wrapText="true" indent="0" shrinkToFit="false"/>
      <protection locked="true" hidden="false"/>
    </xf>
    <xf numFmtId="164" fontId="39" fillId="7" borderId="2" xfId="40" applyFont="true" applyBorder="true" applyAlignment="true" applyProtection="true">
      <alignment horizontal="right" vertical="bottom" textRotation="0" wrapText="false" indent="0" shrinkToFit="false"/>
      <protection locked="true" hidden="false"/>
    </xf>
    <xf numFmtId="172" fontId="0" fillId="0" borderId="0" xfId="0" applyFont="true" applyBorder="false" applyAlignment="true" applyProtection="true">
      <alignment horizontal="general" vertical="bottom" textRotation="0" wrapText="false" indent="0" shrinkToFit="false"/>
      <protection locked="true" hidden="false"/>
    </xf>
    <xf numFmtId="166" fontId="0" fillId="7" borderId="17" xfId="0" applyFont="true" applyBorder="true" applyAlignment="true" applyProtection="true">
      <alignment horizontal="center" vertical="bottom" textRotation="0" wrapText="false" indent="0" shrinkToFit="false"/>
      <protection locked="true" hidden="false"/>
    </xf>
    <xf numFmtId="164" fontId="29" fillId="12" borderId="15" xfId="40" applyFont="true" applyBorder="true" applyAlignment="true" applyProtection="true">
      <alignment horizontal="right" vertical="bottom" textRotation="0" wrapText="true" indent="0" shrinkToFit="false"/>
      <protection locked="true" hidden="false"/>
    </xf>
    <xf numFmtId="165" fontId="38" fillId="19" borderId="3" xfId="0" applyFont="true" applyBorder="true" applyAlignment="true" applyProtection="true">
      <alignment horizontal="center" vertical="top" textRotation="0" wrapText="true" indent="0" shrinkToFit="false"/>
      <protection locked="true" hidden="false"/>
    </xf>
    <xf numFmtId="178" fontId="29" fillId="12" borderId="15" xfId="40" applyFont="true" applyBorder="true" applyAlignment="true" applyProtection="true">
      <alignment horizontal="right" vertical="center" textRotation="0" wrapText="false" indent="0" shrinkToFit="false"/>
      <protection locked="true" hidden="false"/>
    </xf>
    <xf numFmtId="178" fontId="29" fillId="15" borderId="16" xfId="40" applyFont="true" applyBorder="true" applyAlignment="true" applyProtection="true">
      <alignment horizontal="center" vertical="center" textRotation="0" wrapText="false" indent="0" shrinkToFit="false"/>
      <protection locked="false" hidden="false"/>
    </xf>
    <xf numFmtId="173" fontId="0" fillId="7" borderId="17" xfId="40" applyFont="true" applyBorder="true" applyAlignment="true" applyProtection="true">
      <alignment horizontal="center" vertical="bottom" textRotation="0" wrapText="false" indent="0" shrinkToFit="false"/>
      <protection locked="true" hidden="false"/>
    </xf>
    <xf numFmtId="164" fontId="4" fillId="12" borderId="31" xfId="40" applyFont="true" applyBorder="true" applyAlignment="true" applyProtection="true">
      <alignment horizontal="general" vertical="bottom" textRotation="0" wrapText="false" indent="0" shrinkToFit="false"/>
      <protection locked="true" hidden="false"/>
    </xf>
    <xf numFmtId="165" fontId="4" fillId="0" borderId="14" xfId="40" applyFont="true" applyBorder="true" applyAlignment="true" applyProtection="true">
      <alignment horizontal="center" vertical="center" textRotation="0" wrapText="false" indent="0" shrinkToFit="false"/>
      <protection locked="true" hidden="false"/>
    </xf>
    <xf numFmtId="164" fontId="0" fillId="12" borderId="15" xfId="40" applyFont="true" applyBorder="true" applyAlignment="true" applyProtection="true">
      <alignment horizontal="general" vertical="bottom" textRotation="0" wrapText="false" indent="0" shrinkToFit="false"/>
      <protection locked="true" hidden="false"/>
    </xf>
    <xf numFmtId="164" fontId="0" fillId="12" borderId="16" xfId="40" applyFont="true" applyBorder="true" applyAlignment="true" applyProtection="true">
      <alignment horizontal="general" vertical="center" textRotation="0" wrapText="false" indent="0" shrinkToFit="false"/>
      <protection locked="true" hidden="false"/>
    </xf>
    <xf numFmtId="181" fontId="0" fillId="7" borderId="17" xfId="40" applyFont="true" applyBorder="true" applyAlignment="true" applyProtection="true">
      <alignment horizontal="center" vertical="center" textRotation="0" wrapText="false" indent="0" shrinkToFit="true"/>
      <protection locked="true" hidden="false"/>
    </xf>
    <xf numFmtId="172" fontId="0" fillId="0" borderId="0" xfId="40" applyFont="true" applyBorder="false" applyAlignment="true" applyProtection="true">
      <alignment horizontal="general" vertical="bottom" textRotation="0" wrapText="false" indent="0" shrinkToFit="false"/>
      <protection locked="true" hidden="false"/>
    </xf>
    <xf numFmtId="164" fontId="0" fillId="0" borderId="0" xfId="40" applyFont="true" applyBorder="false" applyAlignment="true" applyProtection="true">
      <alignment horizontal="general" vertical="bottom" textRotation="0" wrapText="false" indent="0" shrinkToFit="false"/>
      <protection locked="true" hidden="false"/>
    </xf>
    <xf numFmtId="164" fontId="40" fillId="7" borderId="0" xfId="40" applyFont="true" applyBorder="true" applyAlignment="true" applyProtection="true">
      <alignment horizontal="left" vertical="center" textRotation="0" wrapText="false" indent="0" shrinkToFit="false"/>
      <protection locked="true" hidden="false"/>
    </xf>
    <xf numFmtId="164" fontId="0" fillId="12" borderId="24" xfId="0" applyFont="true" applyBorder="true" applyAlignment="true" applyProtection="true">
      <alignment horizontal="general" vertical="bottom" textRotation="0" wrapText="false" indent="0" shrinkToFit="false"/>
      <protection locked="true" hidden="false"/>
    </xf>
    <xf numFmtId="164" fontId="4" fillId="10" borderId="0" xfId="40" applyFont="true" applyBorder="false" applyAlignment="true" applyProtection="true">
      <alignment horizontal="general" vertical="bottom" textRotation="0" wrapText="false" indent="0" shrinkToFit="false"/>
      <protection locked="true" hidden="false"/>
    </xf>
    <xf numFmtId="182" fontId="0" fillId="7" borderId="17" xfId="40" applyFont="true" applyBorder="true" applyAlignment="true" applyProtection="true">
      <alignment horizontal="center" vertical="center" textRotation="0" wrapText="false" indent="0" shrinkToFit="true"/>
      <protection locked="true" hidden="false"/>
    </xf>
    <xf numFmtId="164" fontId="4" fillId="12" borderId="24" xfId="40" applyFont="true" applyBorder="true" applyAlignment="true" applyProtection="true">
      <alignment horizontal="general" vertical="bottom" textRotation="0" wrapText="false" indent="0" shrinkToFit="false"/>
      <protection locked="true" hidden="false"/>
    </xf>
    <xf numFmtId="165" fontId="4" fillId="0" borderId="14" xfId="40" applyFont="true" applyBorder="true" applyAlignment="true" applyProtection="true">
      <alignment horizontal="center" vertical="bottom" textRotation="0" wrapText="false" indent="0" shrinkToFit="false"/>
      <protection locked="true" hidden="false"/>
    </xf>
    <xf numFmtId="164" fontId="0" fillId="0" borderId="0" xfId="0" applyFont="true" applyBorder="true" applyAlignment="true" applyProtection="true">
      <alignment horizontal="general" vertical="bottom" textRotation="0" wrapText="false" indent="0" shrinkToFit="false"/>
      <protection locked="true" hidden="false"/>
    </xf>
    <xf numFmtId="164" fontId="4" fillId="4" borderId="0" xfId="0" applyFont="true" applyBorder="true" applyAlignment="true" applyProtection="true">
      <alignment horizontal="general" vertical="bottom" textRotation="0" wrapText="false" indent="0" shrinkToFit="false"/>
      <protection locked="true" hidden="false"/>
    </xf>
    <xf numFmtId="164" fontId="0" fillId="13" borderId="0" xfId="0" applyFont="true" applyBorder="true" applyAlignment="true" applyProtection="true">
      <alignment horizontal="general" vertical="bottom" textRotation="0" wrapText="false" indent="0" shrinkToFit="false"/>
      <protection locked="true" hidden="false"/>
    </xf>
    <xf numFmtId="166" fontId="4" fillId="5" borderId="3" xfId="40" applyFont="true" applyBorder="true" applyAlignment="true" applyProtection="true">
      <alignment horizontal="center" vertical="center" textRotation="0" wrapText="false" indent="0" shrinkToFit="false"/>
      <protection locked="true" hidden="false"/>
    </xf>
    <xf numFmtId="165" fontId="4" fillId="5" borderId="3" xfId="40" applyFont="true" applyBorder="true" applyAlignment="true" applyProtection="true">
      <alignment horizontal="center" vertical="center" textRotation="0" wrapText="false" indent="0" shrinkToFit="false"/>
      <protection locked="true" hidden="false"/>
    </xf>
    <xf numFmtId="166" fontId="4" fillId="0" borderId="14" xfId="40" applyFont="true" applyBorder="true" applyAlignment="true" applyProtection="true">
      <alignment horizontal="center" vertical="bottom" textRotation="0" wrapText="false" indent="0" shrinkToFit="false"/>
      <protection locked="true" hidden="false"/>
    </xf>
    <xf numFmtId="164" fontId="0" fillId="0" borderId="32" xfId="0" applyFont="true" applyBorder="true" applyAlignment="true" applyProtection="true">
      <alignment horizontal="general" vertical="bottom" textRotation="0" wrapText="false" indent="0" shrinkToFit="false"/>
      <protection locked="true" hidden="false"/>
    </xf>
    <xf numFmtId="164" fontId="0" fillId="7" borderId="17" xfId="40" applyFont="true" applyBorder="true" applyAlignment="true" applyProtection="true">
      <alignment horizontal="center" vertical="center" textRotation="0" wrapText="false" indent="0" shrinkToFit="true"/>
      <protection locked="true" hidden="false"/>
    </xf>
    <xf numFmtId="164" fontId="41" fillId="22" borderId="6" xfId="0" applyFont="true" applyBorder="true" applyAlignment="true" applyProtection="true">
      <alignment horizontal="center" vertical="center" textRotation="0" wrapText="false" indent="0" shrinkToFit="false"/>
      <protection locked="true" hidden="false"/>
    </xf>
    <xf numFmtId="178" fontId="0" fillId="0" borderId="33" xfId="0" applyFont="true" applyBorder="true" applyAlignment="true" applyProtection="true">
      <alignment horizontal="general" vertical="bottom" textRotation="0" wrapText="false" indent="0" shrinkToFit="false"/>
      <protection locked="true" hidden="false"/>
    </xf>
    <xf numFmtId="164" fontId="0" fillId="22" borderId="0" xfId="0" applyFont="true" applyBorder="true" applyAlignment="true" applyProtection="true">
      <alignment horizontal="general" vertical="bottom" textRotation="0" wrapText="false" indent="0" shrinkToFit="false"/>
      <protection locked="true" hidden="false"/>
    </xf>
    <xf numFmtId="182" fontId="42" fillId="7" borderId="17" xfId="40" applyFont="true" applyBorder="true" applyAlignment="true" applyProtection="true">
      <alignment horizontal="center" vertical="center" textRotation="0" wrapText="false" indent="0" shrinkToFit="true"/>
      <protection locked="true" hidden="false"/>
    </xf>
    <xf numFmtId="183" fontId="6" fillId="7" borderId="17" xfId="40" applyFont="true" applyBorder="true" applyAlignment="true" applyProtection="true">
      <alignment horizontal="center" vertical="center" textRotation="0" wrapText="false" indent="0" shrinkToFit="true"/>
      <protection locked="true" hidden="false"/>
    </xf>
    <xf numFmtId="164" fontId="9" fillId="22" borderId="3" xfId="0" applyFont="true" applyBorder="true" applyAlignment="true" applyProtection="true">
      <alignment horizontal="center" vertical="center" textRotation="0" wrapText="true" indent="0" shrinkToFit="false"/>
      <protection locked="true" hidden="false"/>
    </xf>
    <xf numFmtId="164" fontId="9" fillId="22" borderId="3" xfId="0" applyFont="true" applyBorder="true" applyAlignment="true" applyProtection="true">
      <alignment horizontal="center" vertical="center" textRotation="0" wrapText="false" indent="0" shrinkToFit="false"/>
      <protection locked="true" hidden="false"/>
    </xf>
    <xf numFmtId="164" fontId="4" fillId="5" borderId="0" xfId="40" applyFont="true" applyBorder="false" applyAlignment="true" applyProtection="true">
      <alignment horizontal="general" vertical="bottom" textRotation="0" wrapText="false" indent="0" shrinkToFit="false"/>
      <protection locked="true" hidden="false"/>
    </xf>
    <xf numFmtId="165" fontId="4" fillId="5" borderId="0" xfId="40" applyFont="true" applyBorder="false" applyAlignment="true" applyProtection="true">
      <alignment horizontal="general" vertical="bottom" textRotation="0" wrapText="false" indent="0" shrinkToFit="false"/>
      <protection locked="true" hidden="false"/>
    </xf>
    <xf numFmtId="164" fontId="0" fillId="6" borderId="1" xfId="0" applyFont="true" applyBorder="true" applyAlignment="true" applyProtection="true">
      <alignment horizontal="center" vertical="center" textRotation="0" wrapText="true" indent="0" shrinkToFit="false"/>
      <protection locked="true" hidden="false"/>
    </xf>
    <xf numFmtId="164" fontId="0" fillId="5" borderId="0" xfId="0" applyFont="false" applyBorder="false" applyAlignment="true" applyProtection="true">
      <alignment horizontal="general" vertical="bottom" textRotation="0" wrapText="false" indent="0" shrinkToFit="false"/>
      <protection locked="true" hidden="false"/>
    </xf>
    <xf numFmtId="164" fontId="6" fillId="7" borderId="0" xfId="40" applyFont="true" applyBorder="true" applyAlignment="true" applyProtection="true">
      <alignment horizontal="center" vertical="center" textRotation="0" wrapText="true" indent="0" shrinkToFit="false"/>
      <protection locked="true" hidden="false"/>
    </xf>
    <xf numFmtId="165" fontId="0" fillId="23" borderId="3" xfId="0" applyFont="true" applyBorder="true" applyAlignment="true" applyProtection="true">
      <alignment horizontal="center" vertical="bottom" textRotation="0" wrapText="false" indent="0" shrinkToFit="false"/>
      <protection locked="true" hidden="false"/>
    </xf>
    <xf numFmtId="165" fontId="4" fillId="13" borderId="0" xfId="40" applyFont="true" applyBorder="false" applyAlignment="true" applyProtection="true">
      <alignment horizontal="general" vertical="bottom" textRotation="0" wrapText="false" indent="0" shrinkToFit="false"/>
      <protection locked="true" hidden="false"/>
    </xf>
    <xf numFmtId="164" fontId="9" fillId="24" borderId="34" xfId="40" applyFont="true" applyBorder="true" applyAlignment="true" applyProtection="true">
      <alignment horizontal="center" vertical="bottom" textRotation="0" wrapText="false" indent="0" shrinkToFit="false"/>
      <protection locked="true" hidden="false"/>
    </xf>
    <xf numFmtId="164" fontId="0" fillId="24" borderId="32" xfId="0" applyFont="true" applyBorder="true" applyAlignment="true" applyProtection="true">
      <alignment horizontal="general" vertical="bottom" textRotation="0" wrapText="false" indent="0" shrinkToFit="false"/>
      <protection locked="true" hidden="false"/>
    </xf>
    <xf numFmtId="164" fontId="11" fillId="24" borderId="32" xfId="0" applyFont="true" applyBorder="true" applyAlignment="true" applyProtection="true">
      <alignment horizontal="general" vertical="bottom" textRotation="0" wrapText="false" indent="0" shrinkToFit="false"/>
      <protection locked="true" hidden="false"/>
    </xf>
    <xf numFmtId="165" fontId="9" fillId="22" borderId="35" xfId="0" applyFont="true" applyBorder="true" applyAlignment="true" applyProtection="true">
      <alignment horizontal="center" vertical="bottom" textRotation="0" wrapText="true" indent="0" shrinkToFit="false"/>
      <protection locked="true" hidden="false"/>
    </xf>
    <xf numFmtId="165" fontId="9" fillId="22" borderId="36" xfId="0" applyFont="true" applyBorder="true" applyAlignment="true" applyProtection="true">
      <alignment horizontal="center" vertical="bottom" textRotation="0" wrapText="false" indent="0" shrinkToFit="false"/>
      <protection locked="true" hidden="false"/>
    </xf>
    <xf numFmtId="165" fontId="0" fillId="8" borderId="5" xfId="0" applyFont="false" applyBorder="true" applyAlignment="true" applyProtection="true">
      <alignment horizontal="center" vertical="bottom" textRotation="0" wrapText="false" indent="0" shrinkToFit="false"/>
      <protection locked="false" hidden="false"/>
    </xf>
    <xf numFmtId="165" fontId="4" fillId="13" borderId="6" xfId="40" applyFont="true" applyBorder="true" applyAlignment="true" applyProtection="true">
      <alignment horizontal="general" vertical="bottom" textRotation="0" wrapText="false" indent="0" shrinkToFit="false"/>
      <protection locked="true" hidden="false"/>
    </xf>
    <xf numFmtId="164" fontId="43" fillId="12" borderId="34" xfId="40" applyFont="true" applyBorder="true" applyAlignment="true" applyProtection="true">
      <alignment horizontal="center" vertical="center" textRotation="0" wrapText="true" indent="0" shrinkToFit="false"/>
      <protection locked="true" hidden="false"/>
    </xf>
    <xf numFmtId="164" fontId="43" fillId="12" borderId="32" xfId="40" applyFont="true" applyBorder="true" applyAlignment="true" applyProtection="true">
      <alignment horizontal="center" vertical="center" textRotation="0" wrapText="true" indent="0" shrinkToFit="false"/>
      <protection locked="true" hidden="false"/>
    </xf>
    <xf numFmtId="164" fontId="44" fillId="12" borderId="32" xfId="40" applyFont="true" applyBorder="true" applyAlignment="true" applyProtection="true">
      <alignment horizontal="center" vertical="center" textRotation="0" wrapText="true" indent="0" shrinkToFit="false"/>
      <protection locked="true" hidden="false"/>
    </xf>
    <xf numFmtId="180" fontId="11" fillId="7" borderId="0" xfId="40" applyFont="true" applyBorder="true" applyAlignment="true" applyProtection="true">
      <alignment horizontal="center" vertical="center" textRotation="0" wrapText="true" indent="0" shrinkToFit="false"/>
      <protection locked="true" hidden="false"/>
    </xf>
    <xf numFmtId="164" fontId="11" fillId="7" borderId="0" xfId="0" applyFont="true" applyBorder="true" applyAlignment="true" applyProtection="true">
      <alignment horizontal="center" vertical="bottom" textRotation="0" wrapText="false" indent="0" shrinkToFit="false"/>
      <protection locked="true" hidden="false"/>
    </xf>
    <xf numFmtId="165" fontId="0" fillId="0" borderId="5" xfId="0" applyFont="false" applyBorder="true" applyAlignment="true" applyProtection="true">
      <alignment horizontal="center" vertical="bottom" textRotation="0" wrapText="false" indent="0" shrinkToFit="false"/>
      <protection locked="true" hidden="false"/>
    </xf>
    <xf numFmtId="164" fontId="29" fillId="7" borderId="37" xfId="40" applyFont="true" applyBorder="true" applyAlignment="true" applyProtection="true">
      <alignment horizontal="center" vertical="center" textRotation="0" wrapText="false" indent="0" shrinkToFit="false"/>
      <protection locked="true" hidden="false"/>
    </xf>
    <xf numFmtId="179" fontId="29" fillId="7" borderId="33" xfId="40" applyFont="true" applyBorder="true" applyAlignment="true" applyProtection="true">
      <alignment horizontal="center" vertical="center" textRotation="0" wrapText="false" indent="0" shrinkToFit="true"/>
      <protection locked="true" hidden="false"/>
    </xf>
    <xf numFmtId="182" fontId="29" fillId="7" borderId="33" xfId="40" applyFont="true" applyBorder="true" applyAlignment="true" applyProtection="true">
      <alignment horizontal="center" vertical="center" textRotation="0" wrapText="false" indent="0" shrinkToFit="true"/>
      <protection locked="true" hidden="false"/>
    </xf>
    <xf numFmtId="180" fontId="29" fillId="7" borderId="33" xfId="40" applyFont="true" applyBorder="true" applyAlignment="true" applyProtection="true">
      <alignment horizontal="center" vertical="center" textRotation="0" wrapText="false" indent="0" shrinkToFit="false"/>
      <protection locked="true" hidden="false"/>
    </xf>
    <xf numFmtId="165" fontId="29" fillId="7" borderId="33" xfId="40" applyFont="true" applyBorder="true" applyAlignment="true" applyProtection="true">
      <alignment horizontal="center" vertical="center" textRotation="0" wrapText="false" indent="0" shrinkToFit="false"/>
      <protection locked="true" hidden="false"/>
    </xf>
    <xf numFmtId="164" fontId="29" fillId="0" borderId="4" xfId="0" applyFont="true" applyBorder="true" applyAlignment="true" applyProtection="true">
      <alignment horizontal="center" vertical="center" textRotation="0" wrapText="false" indent="0" shrinkToFit="false"/>
      <protection locked="true" hidden="false"/>
    </xf>
    <xf numFmtId="164" fontId="11" fillId="0" borderId="0" xfId="0" applyFont="true" applyBorder="false" applyAlignment="true" applyProtection="true">
      <alignment horizontal="center" vertical="center" textRotation="0" wrapText="false" indent="0" shrinkToFit="false"/>
      <protection locked="true" hidden="false"/>
    </xf>
    <xf numFmtId="180" fontId="11" fillId="7" borderId="0" xfId="0" applyFont="true" applyBorder="false" applyAlignment="true" applyProtection="true">
      <alignment horizontal="general" vertical="bottom" textRotation="0" wrapText="false" indent="0" shrinkToFit="false"/>
      <protection locked="true" hidden="false"/>
    </xf>
    <xf numFmtId="180" fontId="11" fillId="7" borderId="0" xfId="40" applyFont="true" applyBorder="false" applyAlignment="true" applyProtection="true">
      <alignment horizontal="general" vertical="top" textRotation="0" wrapText="true" indent="0" shrinkToFit="false"/>
      <protection locked="true" hidden="false"/>
    </xf>
    <xf numFmtId="165" fontId="9" fillId="25" borderId="35" xfId="0" applyFont="true" applyBorder="true" applyAlignment="true" applyProtection="true">
      <alignment horizontal="center" vertical="bottom" textRotation="0" wrapText="false" indent="0" shrinkToFit="false"/>
      <protection locked="true" hidden="false"/>
    </xf>
    <xf numFmtId="165" fontId="9" fillId="25" borderId="36" xfId="0" applyFont="true" applyBorder="true" applyAlignment="true" applyProtection="true">
      <alignment horizontal="center" vertical="bottom" textRotation="0" wrapText="false" indent="0" shrinkToFit="false"/>
      <protection locked="true" hidden="false"/>
    </xf>
    <xf numFmtId="164" fontId="29" fillId="0" borderId="6" xfId="40" applyFont="true" applyBorder="true" applyAlignment="true" applyProtection="true">
      <alignment horizontal="center" vertical="center" textRotation="0" wrapText="false" indent="0" shrinkToFit="false"/>
      <protection locked="true" hidden="false"/>
    </xf>
    <xf numFmtId="179" fontId="29" fillId="0" borderId="0" xfId="40" applyFont="true" applyBorder="false" applyAlignment="true" applyProtection="true">
      <alignment horizontal="center" vertical="center" textRotation="0" wrapText="false" indent="0" shrinkToFit="false"/>
      <protection locked="true" hidden="false"/>
    </xf>
    <xf numFmtId="173" fontId="29" fillId="0" borderId="0" xfId="40" applyFont="true" applyBorder="false" applyAlignment="true" applyProtection="true">
      <alignment horizontal="center" vertical="center" textRotation="0" wrapText="false" indent="0" shrinkToFit="false"/>
      <protection locked="true" hidden="false"/>
    </xf>
    <xf numFmtId="180" fontId="29" fillId="0" borderId="0" xfId="40" applyFont="true" applyBorder="false" applyAlignment="true" applyProtection="true">
      <alignment horizontal="center" vertical="center" textRotation="0" wrapText="false" indent="0" shrinkToFit="false"/>
      <protection locked="true" hidden="false"/>
    </xf>
    <xf numFmtId="180" fontId="29" fillId="0" borderId="0" xfId="40" applyFont="true" applyBorder="true" applyAlignment="true" applyProtection="true">
      <alignment horizontal="center" vertical="center" textRotation="0" wrapText="false" indent="0" shrinkToFit="false"/>
      <protection locked="true" hidden="false"/>
    </xf>
    <xf numFmtId="165" fontId="29" fillId="26" borderId="2" xfId="0" applyFont="true" applyBorder="true" applyAlignment="true" applyProtection="true">
      <alignment horizontal="center" vertical="center" textRotation="0" wrapText="false" indent="0" shrinkToFit="false"/>
      <protection locked="true" hidden="false"/>
    </xf>
    <xf numFmtId="164" fontId="4" fillId="4" borderId="0" xfId="0" applyFont="true" applyBorder="false" applyAlignment="true" applyProtection="true">
      <alignment horizontal="general" vertical="bottom" textRotation="0" wrapText="false" indent="0" shrinkToFit="false"/>
      <protection locked="true" hidden="false"/>
    </xf>
    <xf numFmtId="164" fontId="0" fillId="13" borderId="6" xfId="0" applyFont="false" applyBorder="true" applyAlignment="true" applyProtection="true">
      <alignment horizontal="general" vertical="bottom" textRotation="0" wrapText="false" indent="0" shrinkToFit="false"/>
      <protection locked="true" hidden="false"/>
    </xf>
    <xf numFmtId="164" fontId="0" fillId="13" borderId="0" xfId="0" applyFont="false" applyBorder="false" applyAlignment="true" applyProtection="true">
      <alignment horizontal="general" vertical="bottom" textRotation="0" wrapText="false" indent="0" shrinkToFit="false"/>
      <protection locked="true" hidden="false"/>
    </xf>
    <xf numFmtId="165" fontId="29" fillId="0" borderId="2" xfId="0" applyFont="true" applyBorder="true" applyAlignment="true" applyProtection="true">
      <alignment horizontal="center" vertical="center" textRotation="0" wrapText="false" indent="0" shrinkToFit="false"/>
      <protection locked="true" hidden="false"/>
    </xf>
    <xf numFmtId="165" fontId="0" fillId="0" borderId="35" xfId="0" applyFont="true" applyBorder="true" applyAlignment="true" applyProtection="true">
      <alignment horizontal="center" vertical="center" textRotation="0" wrapText="true" indent="0" shrinkToFit="false"/>
      <protection locked="true" hidden="false"/>
    </xf>
    <xf numFmtId="164" fontId="0" fillId="6" borderId="1" xfId="0" applyFont="true" applyBorder="true" applyAlignment="true" applyProtection="true">
      <alignment horizontal="right" vertical="bottom" textRotation="0" wrapText="false" indent="0" shrinkToFit="false"/>
      <protection locked="true" hidden="false"/>
    </xf>
    <xf numFmtId="165" fontId="0" fillId="8" borderId="8" xfId="0" applyFont="true" applyBorder="true" applyAlignment="true" applyProtection="true">
      <alignment horizontal="center" vertical="bottom" textRotation="0" wrapText="false" indent="0" shrinkToFit="false"/>
      <protection locked="false" hidden="false"/>
    </xf>
    <xf numFmtId="164" fontId="0" fillId="0" borderId="2" xfId="0" applyFont="false" applyBorder="true" applyAlignment="true" applyProtection="true">
      <alignment horizontal="center" vertical="bottom" textRotation="0" wrapText="false" indent="0" shrinkToFit="false"/>
      <protection locked="true" hidden="false"/>
    </xf>
    <xf numFmtId="164" fontId="0" fillId="6" borderId="5" xfId="0" applyFont="true" applyBorder="true" applyAlignment="true" applyProtection="true">
      <alignment horizontal="right" vertical="bottom" textRotation="0" wrapText="false" indent="0" shrinkToFit="false"/>
      <protection locked="true" hidden="false"/>
    </xf>
    <xf numFmtId="165" fontId="4" fillId="8" borderId="8" xfId="0" applyFont="true" applyBorder="true" applyAlignment="true" applyProtection="true">
      <alignment horizontal="center" vertical="bottom" textRotation="0" wrapText="false" indent="0" shrinkToFit="false"/>
      <protection locked="false" hidden="false"/>
    </xf>
    <xf numFmtId="164" fontId="11" fillId="6" borderId="5" xfId="0" applyFont="true" applyBorder="true" applyAlignment="true" applyProtection="true">
      <alignment horizontal="right" vertical="bottom" textRotation="0" wrapText="false" indent="0" shrinkToFit="false"/>
      <protection locked="true" hidden="false"/>
    </xf>
    <xf numFmtId="165" fontId="0" fillId="8" borderId="9" xfId="0" applyFont="true" applyBorder="true" applyAlignment="true" applyProtection="true">
      <alignment horizontal="center" vertical="bottom" textRotation="0" wrapText="false" indent="0" shrinkToFit="false"/>
      <protection locked="false" hidden="false"/>
    </xf>
    <xf numFmtId="164" fontId="40" fillId="18" borderId="3" xfId="0" applyFont="true" applyBorder="true" applyAlignment="true" applyProtection="true">
      <alignment horizontal="center" vertical="bottom" textRotation="0" wrapText="true" indent="0" shrinkToFit="false"/>
      <protection locked="true" hidden="false"/>
    </xf>
    <xf numFmtId="164" fontId="40" fillId="6" borderId="0" xfId="40" applyFont="true" applyBorder="false" applyAlignment="true" applyProtection="true">
      <alignment horizontal="center" vertical="bottom" textRotation="0" wrapText="false" indent="0" shrinkToFit="false"/>
      <protection locked="true" hidden="false"/>
    </xf>
    <xf numFmtId="164" fontId="39" fillId="4" borderId="0" xfId="40" applyFont="true" applyBorder="false" applyAlignment="true" applyProtection="true">
      <alignment horizontal="center" vertical="bottom" textRotation="0" wrapText="false" indent="0" shrinkToFit="false"/>
      <protection locked="true" hidden="false"/>
    </xf>
    <xf numFmtId="164" fontId="11" fillId="6" borderId="35" xfId="0" applyFont="true" applyBorder="true" applyAlignment="true" applyProtection="true">
      <alignment horizontal="right" vertical="bottom" textRotation="0" wrapText="false" indent="0" shrinkToFit="false"/>
      <protection locked="true" hidden="false"/>
    </xf>
    <xf numFmtId="164" fontId="40" fillId="6" borderId="0" xfId="0" applyFont="true" applyBorder="false" applyAlignment="true" applyProtection="true">
      <alignment horizontal="center" vertical="bottom" textRotation="0" wrapText="false" indent="0" shrinkToFit="false"/>
      <protection locked="true" hidden="false"/>
    </xf>
    <xf numFmtId="164" fontId="40" fillId="18" borderId="37" xfId="0" applyFont="true" applyBorder="true" applyAlignment="true" applyProtection="true">
      <alignment horizontal="center" vertical="bottom" textRotation="0" wrapText="false" indent="0" shrinkToFit="false"/>
      <protection locked="true" hidden="false"/>
    </xf>
    <xf numFmtId="165" fontId="40" fillId="18" borderId="4" xfId="0" applyFont="true" applyBorder="true" applyAlignment="true" applyProtection="true">
      <alignment horizontal="center" vertical="bottom" textRotation="0" wrapText="false" indent="0" shrinkToFit="false"/>
      <protection locked="true" hidden="false"/>
    </xf>
    <xf numFmtId="165" fontId="0" fillId="8" borderId="3" xfId="0" applyFont="true" applyBorder="true" applyAlignment="true" applyProtection="true">
      <alignment horizontal="center" vertical="bottom" textRotation="0" wrapText="false" indent="0" shrinkToFit="false"/>
      <protection locked="false" hidden="false"/>
    </xf>
    <xf numFmtId="164" fontId="28" fillId="19" borderId="38" xfId="40" applyFont="true" applyBorder="true" applyAlignment="true" applyProtection="true">
      <alignment horizontal="general" vertical="bottom" textRotation="0" wrapText="false" indent="0" shrinkToFit="false"/>
      <protection locked="true" hidden="false"/>
    </xf>
    <xf numFmtId="164" fontId="30" fillId="4" borderId="0" xfId="40" applyFont="true" applyBorder="true" applyAlignment="true" applyProtection="true">
      <alignment horizontal="general" vertical="center" textRotation="0" wrapText="false" indent="0" shrinkToFit="false"/>
      <protection locked="true" hidden="false"/>
    </xf>
    <xf numFmtId="164" fontId="40" fillId="18" borderId="34" xfId="40" applyFont="true" applyBorder="true" applyAlignment="true" applyProtection="true">
      <alignment horizontal="center" vertical="bottom" textRotation="0" wrapText="false" indent="0" shrinkToFit="false"/>
      <protection locked="true" hidden="false"/>
    </xf>
    <xf numFmtId="164" fontId="40" fillId="18" borderId="36" xfId="40" applyFont="true" applyBorder="true" applyAlignment="true" applyProtection="true">
      <alignment horizontal="center" vertical="bottom" textRotation="0" wrapText="false" indent="0" shrinkToFit="false"/>
      <protection locked="true" hidden="false"/>
    </xf>
    <xf numFmtId="164" fontId="0" fillId="0" borderId="37" xfId="0" applyFont="true" applyBorder="true" applyAlignment="true" applyProtection="true">
      <alignment horizontal="right" vertical="bottom" textRotation="0" wrapText="false" indent="0" shrinkToFit="false"/>
      <protection locked="true" hidden="false"/>
    </xf>
    <xf numFmtId="164" fontId="0" fillId="8" borderId="3" xfId="0" applyFont="true" applyBorder="true" applyAlignment="true" applyProtection="true">
      <alignment horizontal="center" vertical="bottom" textRotation="0" wrapText="false" indent="0" shrinkToFit="false"/>
      <protection locked="false" hidden="false"/>
    </xf>
    <xf numFmtId="165" fontId="0" fillId="8" borderId="3" xfId="0" applyFont="false" applyBorder="true" applyAlignment="true" applyProtection="true">
      <alignment horizontal="center" vertical="bottom" textRotation="0" wrapText="false" indent="0" shrinkToFit="false"/>
      <protection locked="true" hidden="false"/>
    </xf>
    <xf numFmtId="164" fontId="4" fillId="0" borderId="0" xfId="40" applyFont="true" applyBorder="false" applyAlignment="true" applyProtection="true">
      <alignment horizontal="center" vertical="bottom" textRotation="0" wrapText="false" indent="0" shrinkToFit="false"/>
      <protection locked="true" hidden="false"/>
    </xf>
    <xf numFmtId="164" fontId="4" fillId="4" borderId="0" xfId="40" applyFont="true" applyBorder="false" applyAlignment="true" applyProtection="true">
      <alignment horizontal="center" vertical="bottom" textRotation="0" wrapText="false" indent="0" shrinkToFit="false"/>
      <protection locked="true" hidden="false"/>
    </xf>
    <xf numFmtId="165" fontId="4" fillId="13" borderId="6" xfId="40" applyFont="true" applyBorder="true" applyAlignment="true" applyProtection="true">
      <alignment horizontal="center" vertical="bottom" textRotation="0" wrapText="false" indent="0" shrinkToFit="false"/>
      <protection locked="true" hidden="false"/>
    </xf>
    <xf numFmtId="164" fontId="45" fillId="0" borderId="6" xfId="40" applyFont="true" applyBorder="true" applyAlignment="true" applyProtection="true">
      <alignment horizontal="right" vertical="bottom" textRotation="0" wrapText="false" indent="0" shrinkToFit="false"/>
      <protection locked="true" hidden="false"/>
    </xf>
    <xf numFmtId="165" fontId="4" fillId="7" borderId="3" xfId="40" applyFont="true" applyBorder="true" applyAlignment="true" applyProtection="true">
      <alignment horizontal="center" vertical="bottom" textRotation="0" wrapText="false" indent="0" shrinkToFit="false"/>
      <protection locked="true" hidden="false"/>
    </xf>
    <xf numFmtId="164" fontId="4" fillId="0" borderId="3" xfId="40" applyFont="true" applyBorder="true" applyAlignment="true" applyProtection="true">
      <alignment horizontal="center" vertical="bottom" textRotation="0" wrapText="false" indent="0" shrinkToFit="false"/>
      <protection locked="true" hidden="false"/>
    </xf>
    <xf numFmtId="165" fontId="4" fillId="8" borderId="3" xfId="40" applyFont="true" applyBorder="true" applyAlignment="true" applyProtection="true">
      <alignment horizontal="center" vertical="bottom" textRotation="0" wrapText="false" indent="0" shrinkToFit="false"/>
      <protection locked="false" hidden="false"/>
    </xf>
    <xf numFmtId="164" fontId="0" fillId="0" borderId="6" xfId="0" applyFont="true" applyBorder="true" applyAlignment="true" applyProtection="true">
      <alignment horizontal="right" vertical="bottom" textRotation="0" wrapText="false" indent="0" shrinkToFit="false"/>
      <protection locked="true" hidden="false"/>
    </xf>
    <xf numFmtId="164" fontId="0" fillId="8" borderId="3" xfId="0" applyFont="false" applyBorder="true" applyAlignment="true" applyProtection="true">
      <alignment horizontal="center" vertical="bottom" textRotation="0" wrapText="false" indent="0" shrinkToFit="false"/>
      <protection locked="false" hidden="false"/>
    </xf>
    <xf numFmtId="165" fontId="0" fillId="27" borderId="3" xfId="0" applyFont="true" applyBorder="true" applyAlignment="true" applyProtection="true">
      <alignment horizontal="center" vertical="bottom" textRotation="0" wrapText="false" indent="0" shrinkToFit="false"/>
      <protection locked="false" hidden="false"/>
    </xf>
    <xf numFmtId="165" fontId="4" fillId="0" borderId="3" xfId="40" applyFont="true" applyBorder="true" applyAlignment="true" applyProtection="true">
      <alignment horizontal="center" vertical="bottom" textRotation="0" wrapText="false" indent="0" shrinkToFit="false"/>
      <protection locked="true" hidden="false"/>
    </xf>
    <xf numFmtId="164" fontId="0" fillId="13" borderId="6" xfId="0" applyFont="true" applyBorder="true" applyAlignment="true" applyProtection="true">
      <alignment horizontal="general" vertical="bottom" textRotation="0" wrapText="false" indent="0" shrinkToFit="false"/>
      <protection locked="true" hidden="false"/>
    </xf>
    <xf numFmtId="164" fontId="0" fillId="8" borderId="3" xfId="0" applyFont="false" applyBorder="true" applyAlignment="true" applyProtection="true">
      <alignment horizontal="general" vertical="bottom" textRotation="0" wrapText="false" indent="0" shrinkToFit="false"/>
      <protection locked="false" hidden="false"/>
    </xf>
    <xf numFmtId="164" fontId="4" fillId="13" borderId="39" xfId="40" applyFont="true" applyBorder="true" applyAlignment="true" applyProtection="true">
      <alignment horizontal="general" vertical="bottom" textRotation="0" wrapText="false" indent="0" shrinkToFit="false"/>
      <protection locked="true" hidden="false"/>
    </xf>
    <xf numFmtId="164" fontId="46" fillId="0" borderId="6" xfId="0" applyFont="true" applyBorder="true" applyAlignment="true" applyProtection="true">
      <alignment horizontal="right" vertical="bottom" textRotation="0" wrapText="false" indent="0" shrinkToFit="false"/>
      <protection locked="true" hidden="false"/>
    </xf>
    <xf numFmtId="164" fontId="11" fillId="13" borderId="39" xfId="40" applyFont="true" applyBorder="true" applyAlignment="true" applyProtection="true">
      <alignment horizontal="general" vertical="bottom" textRotation="0" wrapText="false" indent="0" shrinkToFit="false"/>
      <protection locked="true" hidden="false"/>
    </xf>
    <xf numFmtId="164" fontId="4" fillId="0" borderId="34" xfId="40" applyFont="true" applyBorder="true" applyAlignment="true" applyProtection="true">
      <alignment horizontal="center" vertical="bottom" textRotation="0" wrapText="false" indent="0" shrinkToFit="false"/>
      <protection locked="true" hidden="false"/>
    </xf>
    <xf numFmtId="164" fontId="9" fillId="6" borderId="0" xfId="0" applyFont="true" applyBorder="true" applyAlignment="true" applyProtection="true">
      <alignment horizontal="center" vertical="center" textRotation="0" wrapText="false" indent="0" shrinkToFit="false"/>
      <protection locked="true" hidden="false"/>
    </xf>
    <xf numFmtId="164" fontId="40" fillId="6" borderId="3" xfId="40" applyFont="true" applyBorder="true" applyAlignment="true" applyProtection="true">
      <alignment horizontal="center" vertical="bottom" textRotation="0" wrapText="false" indent="0" shrinkToFit="false"/>
      <protection locked="true" hidden="false"/>
    </xf>
    <xf numFmtId="165" fontId="40" fillId="6" borderId="3" xfId="40" applyFont="true" applyBorder="true" applyAlignment="true" applyProtection="true">
      <alignment horizontal="center" vertical="bottom" textRotation="0" wrapText="false" indent="0" shrinkToFit="false"/>
      <protection locked="true" hidden="false"/>
    </xf>
    <xf numFmtId="184" fontId="4" fillId="0" borderId="3" xfId="40" applyFont="true" applyBorder="true" applyAlignment="true" applyProtection="true">
      <alignment horizontal="center" vertical="bottom" textRotation="0" wrapText="false" indent="0" shrinkToFit="false"/>
      <protection locked="true" hidden="false"/>
    </xf>
    <xf numFmtId="164" fontId="4" fillId="0" borderId="3" xfId="40" applyFont="true" applyBorder="true" applyAlignment="true" applyProtection="true">
      <alignment horizontal="general" vertical="bottom" textRotation="0" wrapText="false" indent="0" shrinkToFit="false"/>
      <protection locked="true" hidden="false"/>
    </xf>
    <xf numFmtId="165" fontId="4" fillId="0" borderId="3" xfId="40" applyFont="true" applyBorder="true" applyAlignment="true" applyProtection="true">
      <alignment horizontal="general" vertical="bottom" textRotation="0" wrapText="false" indent="0" shrinkToFit="false"/>
      <protection locked="true" hidden="false"/>
    </xf>
    <xf numFmtId="164" fontId="4" fillId="0" borderId="3" xfId="40" applyFont="true" applyBorder="true" applyAlignment="true" applyProtection="true">
      <alignment horizontal="right" vertical="bottom" textRotation="0" wrapText="false" indent="0" shrinkToFit="false"/>
      <protection locked="true" hidden="false"/>
    </xf>
    <xf numFmtId="164" fontId="11" fillId="28" borderId="0" xfId="40" applyFont="true" applyBorder="true" applyAlignment="true" applyProtection="true">
      <alignment horizontal="center" vertical="bottom" textRotation="0" wrapText="false" indent="0" shrinkToFit="false"/>
      <protection locked="true" hidden="false"/>
    </xf>
    <xf numFmtId="164" fontId="0" fillId="13" borderId="39" xfId="0" applyFont="false" applyBorder="true" applyAlignment="true" applyProtection="true">
      <alignment horizontal="general" vertical="bottom" textRotation="0" wrapText="false" indent="0" shrinkToFit="false"/>
      <protection locked="true" hidden="false"/>
    </xf>
    <xf numFmtId="172" fontId="4" fillId="0" borderId="3" xfId="40" applyFont="true" applyBorder="true" applyAlignment="true" applyProtection="true">
      <alignment horizontal="center" vertical="bottom" textRotation="0" wrapText="false" indent="0" shrinkToFit="false"/>
      <protection locked="true" hidden="false"/>
    </xf>
    <xf numFmtId="164" fontId="0" fillId="29" borderId="0" xfId="40" applyFont="true" applyBorder="true" applyAlignment="true" applyProtection="true">
      <alignment horizontal="general" vertical="bottom" textRotation="0" wrapText="false" indent="0" shrinkToFit="false"/>
      <protection locked="true" hidden="false"/>
    </xf>
    <xf numFmtId="164" fontId="0" fillId="29" borderId="0" xfId="40" applyFont="true" applyBorder="true" applyAlignment="true" applyProtection="true">
      <alignment horizontal="right" vertical="bottom" textRotation="0" wrapText="false" indent="0" shrinkToFit="false"/>
      <protection locked="true" hidden="false"/>
    </xf>
    <xf numFmtId="164" fontId="47" fillId="30" borderId="0" xfId="0" applyFont="true" applyBorder="true" applyAlignment="true" applyProtection="true">
      <alignment horizontal="general" vertical="center" textRotation="0" wrapText="false" indent="0" shrinkToFit="false"/>
      <protection locked="true" hidden="false"/>
    </xf>
    <xf numFmtId="164" fontId="40" fillId="0" borderId="0" xfId="0" applyFont="true" applyBorder="true" applyAlignment="true" applyProtection="true">
      <alignment horizontal="left" vertical="bottom" textRotation="0" wrapText="false" indent="0" shrinkToFit="false"/>
      <protection locked="true" hidden="false"/>
    </xf>
    <xf numFmtId="164" fontId="29" fillId="0" borderId="40" xfId="0" applyFont="true" applyBorder="true" applyAlignment="true" applyProtection="true">
      <alignment horizontal="right" vertical="bottom" textRotation="0" wrapText="false" indent="0" shrinkToFit="false"/>
      <protection locked="true" hidden="false"/>
    </xf>
    <xf numFmtId="185" fontId="49" fillId="0" borderId="0" xfId="20" applyFont="true" applyBorder="true" applyAlignment="true" applyProtection="true">
      <alignment horizontal="center" vertical="bottom" textRotation="0" wrapText="false" indent="0" shrinkToFit="false"/>
      <protection locked="true" hidden="false"/>
    </xf>
    <xf numFmtId="164" fontId="11" fillId="31" borderId="0" xfId="0" applyFont="true" applyBorder="true" applyAlignment="true" applyProtection="true">
      <alignment horizontal="left" vertical="center" textRotation="0" wrapText="false" indent="1" shrinkToFit="false"/>
      <protection locked="true" hidden="false"/>
    </xf>
    <xf numFmtId="164" fontId="11" fillId="31" borderId="0" xfId="0" applyFont="true" applyBorder="true" applyAlignment="true" applyProtection="true">
      <alignment horizontal="general" vertical="center" textRotation="0" wrapText="false" indent="0" shrinkToFit="false"/>
      <protection locked="true" hidden="false"/>
    </xf>
    <xf numFmtId="164" fontId="9" fillId="0" borderId="0" xfId="0" applyFont="true" applyBorder="true" applyAlignment="true" applyProtection="true">
      <alignment horizontal="general" vertical="bottom" textRotation="0" wrapText="false" indent="0" shrinkToFit="false"/>
      <protection locked="true" hidden="false"/>
    </xf>
    <xf numFmtId="164" fontId="40" fillId="0" borderId="0" xfId="0" applyFont="true" applyBorder="true" applyAlignment="true" applyProtection="true">
      <alignment horizontal="general" vertical="bottom" textRotation="0" wrapText="false" indent="0" shrinkToFit="false"/>
      <protection locked="true" hidden="false"/>
    </xf>
    <xf numFmtId="164" fontId="11" fillId="0" borderId="0" xfId="0" applyFont="true" applyBorder="tru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left" vertical="center" textRotation="0" wrapText="false" indent="2" shrinkToFit="false"/>
      <protection locked="true" hidden="false"/>
    </xf>
    <xf numFmtId="173" fontId="0" fillId="0" borderId="41" xfId="0" applyFont="true" applyBorder="true" applyAlignment="true" applyProtection="true">
      <alignment horizontal="right" vertical="center" textRotation="0" wrapText="false" indent="1" shrinkToFit="false"/>
      <protection locked="true" hidden="false"/>
    </xf>
    <xf numFmtId="164" fontId="0" fillId="0" borderId="0" xfId="0" applyFont="true" applyBorder="true" applyAlignment="true" applyProtection="true">
      <alignment horizontal="general" vertical="center" textRotation="0" wrapText="false" indent="0" shrinkToFit="false"/>
      <protection locked="true" hidden="false"/>
    </xf>
    <xf numFmtId="186" fontId="0" fillId="32" borderId="0" xfId="0" applyFont="true" applyBorder="true" applyAlignment="true" applyProtection="true">
      <alignment horizontal="center" vertical="center" textRotation="0" wrapText="false" indent="0" shrinkToFit="false"/>
      <protection locked="true" hidden="false"/>
    </xf>
    <xf numFmtId="182" fontId="0" fillId="0" borderId="41" xfId="0" applyFont="true" applyBorder="true" applyAlignment="true" applyProtection="true">
      <alignment horizontal="right" vertical="center" textRotation="0" wrapText="false" indent="1" shrinkToFit="false"/>
      <protection locked="true" hidden="false"/>
    </xf>
    <xf numFmtId="164" fontId="0" fillId="0" borderId="0" xfId="0" applyFont="true" applyBorder="true" applyAlignment="true" applyProtection="true">
      <alignment horizontal="right" vertical="bottom" textRotation="0" wrapText="false" indent="0" shrinkToFit="false"/>
      <protection locked="true" hidden="false"/>
    </xf>
    <xf numFmtId="164" fontId="11" fillId="33" borderId="0" xfId="0" applyFont="true" applyBorder="true" applyAlignment="true" applyProtection="true">
      <alignment horizontal="left" vertical="center" textRotation="0" wrapText="false" indent="1" shrinkToFit="false"/>
      <protection locked="true" hidden="false"/>
    </xf>
    <xf numFmtId="164" fontId="11" fillId="33" borderId="0" xfId="0" applyFont="true" applyBorder="true" applyAlignment="true" applyProtection="true">
      <alignment horizontal="general" vertical="center" textRotation="0" wrapText="false" indent="0" shrinkToFit="false"/>
      <protection locked="true" hidden="false"/>
    </xf>
    <xf numFmtId="164" fontId="9" fillId="0" borderId="0" xfId="0" applyFont="true" applyBorder="true" applyAlignment="true" applyProtection="true">
      <alignment horizontal="center" vertical="bottom" textRotation="0" wrapText="true" indent="0" shrinkToFit="false"/>
      <protection locked="true" hidden="false"/>
    </xf>
    <xf numFmtId="164" fontId="50" fillId="0" borderId="0" xfId="0" applyFont="true" applyBorder="true" applyAlignment="true" applyProtection="true">
      <alignment horizontal="center" vertical="center" textRotation="0" wrapText="false" indent="0" shrinkToFit="false"/>
      <protection locked="true" hidden="false"/>
    </xf>
    <xf numFmtId="164" fontId="9" fillId="0" borderId="0" xfId="0" applyFont="true" applyBorder="true" applyAlignment="true" applyProtection="true">
      <alignment horizontal="center" vertical="center" textRotation="0" wrapText="false" indent="0" shrinkToFit="false"/>
      <protection locked="true" hidden="false"/>
    </xf>
    <xf numFmtId="187" fontId="0" fillId="0" borderId="41" xfId="0" applyFont="true" applyBorder="true" applyAlignment="true" applyProtection="true">
      <alignment horizontal="right" vertical="center" textRotation="0" wrapText="false" indent="0" shrinkToFit="false"/>
      <protection locked="false" hidden="false"/>
    </xf>
    <xf numFmtId="164" fontId="11" fillId="0" borderId="0" xfId="0" applyFont="true" applyBorder="true" applyAlignment="true" applyProtection="true">
      <alignment horizontal="general" vertical="center" textRotation="0" wrapText="false" indent="0" shrinkToFit="false"/>
      <protection locked="true" hidden="false"/>
    </xf>
    <xf numFmtId="187" fontId="0" fillId="0" borderId="41" xfId="0" applyFont="true" applyBorder="true" applyAlignment="true" applyProtection="true">
      <alignment horizontal="right" vertical="center" textRotation="0" wrapText="false" indent="0" shrinkToFit="false"/>
      <protection locked="true" hidden="false"/>
    </xf>
    <xf numFmtId="187" fontId="0" fillId="34" borderId="0" xfId="0" applyFont="true" applyBorder="true" applyAlignment="true" applyProtection="true">
      <alignment horizontal="right" vertical="center" textRotation="0" wrapText="false" indent="0" shrinkToFit="false"/>
      <protection locked="true" hidden="false"/>
    </xf>
    <xf numFmtId="164" fontId="0" fillId="0" borderId="0" xfId="0" applyFont="true" applyBorder="true" applyAlignment="true" applyProtection="true">
      <alignment horizontal="center" vertical="center" textRotation="0" wrapText="false" indent="0" shrinkToFit="false"/>
      <protection locked="true" hidden="false"/>
    </xf>
    <xf numFmtId="164" fontId="4" fillId="23" borderId="3" xfId="0" applyFont="true" applyBorder="true" applyAlignment="true" applyProtection="true">
      <alignment horizontal="center" vertical="center" textRotation="0" wrapText="false" indent="0" shrinkToFit="false"/>
      <protection locked="false" hidden="false"/>
    </xf>
    <xf numFmtId="164" fontId="0" fillId="0" borderId="0" xfId="0" applyFont="true" applyBorder="true" applyAlignment="true" applyProtection="true">
      <alignment horizontal="center" vertical="center" textRotation="0" wrapText="true" indent="0" shrinkToFit="false"/>
      <protection locked="true" hidden="false"/>
    </xf>
    <xf numFmtId="164" fontId="0" fillId="7" borderId="0" xfId="0" applyFont="true" applyBorder="true" applyAlignment="true" applyProtection="true">
      <alignment horizontal="left" vertical="center" textRotation="0" wrapText="false" indent="2" shrinkToFit="false"/>
      <protection locked="true" hidden="false"/>
    </xf>
    <xf numFmtId="164" fontId="0" fillId="0" borderId="0" xfId="0" applyFont="true" applyBorder="true" applyAlignment="true" applyProtection="true">
      <alignment horizontal="general" vertical="center" textRotation="0" wrapText="true" indent="0" shrinkToFit="false"/>
      <protection locked="true" hidden="false"/>
    </xf>
    <xf numFmtId="164" fontId="0" fillId="0" borderId="0" xfId="0" applyFont="true" applyBorder="true" applyAlignment="true" applyProtection="true">
      <alignment horizontal="general" vertical="bottom" textRotation="0" wrapText="false" indent="0" shrinkToFit="false"/>
      <protection locked="false" hidden="false"/>
    </xf>
    <xf numFmtId="164" fontId="9" fillId="34" borderId="42" xfId="0" applyFont="true" applyBorder="true" applyAlignment="true" applyProtection="true">
      <alignment horizontal="left" vertical="center" textRotation="0" wrapText="false" indent="1" shrinkToFit="false"/>
      <protection locked="true" hidden="false"/>
    </xf>
    <xf numFmtId="187" fontId="9" fillId="34" borderId="42" xfId="0" applyFont="true" applyBorder="true" applyAlignment="true" applyProtection="true">
      <alignment horizontal="right" vertical="center" textRotation="0" wrapText="false" indent="0" shrinkToFit="false"/>
      <protection locked="true" hidden="false"/>
    </xf>
    <xf numFmtId="164" fontId="40" fillId="34" borderId="42" xfId="0" applyFont="true" applyBorder="true" applyAlignment="true" applyProtection="true">
      <alignment horizontal="general" vertical="center" textRotation="0" wrapText="false" indent="0" shrinkToFit="false"/>
      <protection locked="true" hidden="false"/>
    </xf>
    <xf numFmtId="164" fontId="9" fillId="34" borderId="42" xfId="0" applyFont="true" applyBorder="true" applyAlignment="true" applyProtection="true">
      <alignment horizontal="general" vertical="center" textRotation="0" wrapText="false" indent="0" shrinkToFit="false"/>
      <protection locked="true" hidden="false"/>
    </xf>
    <xf numFmtId="164" fontId="9" fillId="0" borderId="0" xfId="0" applyFont="true" applyBorder="true" applyAlignment="true" applyProtection="true">
      <alignment horizontal="general" vertical="center" textRotation="0" wrapText="false" indent="0" shrinkToFit="false"/>
      <protection locked="true" hidden="false"/>
    </xf>
    <xf numFmtId="164" fontId="51" fillId="0" borderId="0" xfId="0" applyFont="true" applyBorder="true" applyAlignment="true" applyProtection="true">
      <alignment horizontal="general" vertical="center" textRotation="0" wrapText="false" indent="0" shrinkToFit="false"/>
      <protection locked="true" hidden="false"/>
    </xf>
    <xf numFmtId="187" fontId="0" fillId="32" borderId="0" xfId="0" applyFont="true" applyBorder="true" applyAlignment="true" applyProtection="true">
      <alignment horizontal="right" vertical="center" textRotation="0" wrapText="false" indent="0" shrinkToFit="false"/>
      <protection locked="true" hidden="false"/>
    </xf>
    <xf numFmtId="164" fontId="9" fillId="32" borderId="43" xfId="0" applyFont="true" applyBorder="true" applyAlignment="true" applyProtection="true">
      <alignment horizontal="left" vertical="center" textRotation="0" wrapText="false" indent="1" shrinkToFit="false"/>
      <protection locked="true" hidden="false"/>
    </xf>
    <xf numFmtId="187" fontId="9" fillId="32" borderId="43" xfId="0" applyFont="true" applyBorder="true" applyAlignment="true" applyProtection="true">
      <alignment horizontal="right" vertical="center" textRotation="0" wrapText="false" indent="0" shrinkToFit="false"/>
      <protection locked="true" hidden="false"/>
    </xf>
    <xf numFmtId="164" fontId="9" fillId="32" borderId="43" xfId="0" applyFont="true" applyBorder="true" applyAlignment="true" applyProtection="true">
      <alignment horizontal="general" vertical="center" textRotation="0" wrapText="false" indent="0" shrinkToFit="false"/>
      <protection locked="true" hidden="false"/>
    </xf>
    <xf numFmtId="164" fontId="0" fillId="0" borderId="0" xfId="0" applyFont="true" applyBorder="true" applyAlignment="true" applyProtection="true">
      <alignment horizontal="left" vertical="center" textRotation="0" wrapText="false" indent="2" shrinkToFit="false"/>
      <protection locked="false" hidden="false"/>
    </xf>
    <xf numFmtId="164" fontId="11" fillId="33" borderId="0" xfId="0" applyFont="true" applyBorder="true" applyAlignment="true" applyProtection="true">
      <alignment horizontal="center" vertical="center" textRotation="0" wrapText="false" indent="0" shrinkToFit="false"/>
      <protection locked="true" hidden="false"/>
    </xf>
    <xf numFmtId="164" fontId="9" fillId="34" borderId="0" xfId="0" applyFont="true" applyBorder="true" applyAlignment="true" applyProtection="true">
      <alignment horizontal="general" vertical="bottom" textRotation="0" wrapText="false" indent="0" shrinkToFit="false"/>
      <protection locked="true" hidden="false"/>
    </xf>
    <xf numFmtId="164" fontId="0" fillId="34" borderId="0" xfId="0" applyFont="true" applyBorder="true" applyAlignment="true" applyProtection="true">
      <alignment horizontal="general" vertical="bottom" textRotation="0" wrapText="false" indent="0" shrinkToFit="false"/>
      <protection locked="true" hidden="false"/>
    </xf>
    <xf numFmtId="164" fontId="0" fillId="34" borderId="0" xfId="0" applyFont="true" applyBorder="true" applyAlignment="true" applyProtection="true">
      <alignment horizontal="center" vertical="bottom" textRotation="0" wrapText="false" indent="0" shrinkToFit="false"/>
      <protection locked="true" hidden="false"/>
    </xf>
    <xf numFmtId="164" fontId="0" fillId="34" borderId="0" xfId="0" applyFont="true" applyBorder="true" applyAlignment="true" applyProtection="true">
      <alignment horizontal="left" vertical="center" textRotation="0" wrapText="false" indent="2" shrinkToFit="false"/>
      <protection locked="true" hidden="false"/>
    </xf>
    <xf numFmtId="164" fontId="0" fillId="34" borderId="0" xfId="0" applyFont="true" applyBorder="true" applyAlignment="true" applyProtection="true">
      <alignment horizontal="general" vertical="center" textRotation="0" wrapText="false" indent="0" shrinkToFit="false"/>
      <protection locked="true" hidden="false"/>
    </xf>
    <xf numFmtId="165" fontId="0" fillId="34" borderId="0" xfId="0" applyFont="true" applyBorder="true" applyAlignment="true" applyProtection="true">
      <alignment horizontal="center" vertical="center" textRotation="0" wrapText="false" indent="0" shrinkToFit="false"/>
      <protection locked="true" hidden="false"/>
    </xf>
    <xf numFmtId="164" fontId="0" fillId="34" borderId="0" xfId="0" applyFont="true" applyBorder="true" applyAlignment="true" applyProtection="true">
      <alignment horizontal="center" vertical="center" textRotation="0" wrapText="false" indent="0" shrinkToFit="false"/>
      <protection locked="true" hidden="false"/>
    </xf>
    <xf numFmtId="188" fontId="4" fillId="34" borderId="0" xfId="0" applyFont="true" applyBorder="true" applyAlignment="true" applyProtection="true">
      <alignment horizontal="center" vertical="center" textRotation="0" wrapText="false" indent="0" shrinkToFit="false"/>
      <protection locked="true" hidden="false"/>
    </xf>
    <xf numFmtId="164" fontId="0" fillId="28" borderId="0" xfId="0" applyFont="true" applyBorder="false" applyAlignment="true" applyProtection="true">
      <alignment horizontal="general" vertical="bottom" textRotation="0" wrapText="false" indent="0" shrinkToFit="false"/>
      <protection locked="true" hidden="false"/>
    </xf>
    <xf numFmtId="164" fontId="52" fillId="28" borderId="0" xfId="0" applyFont="true" applyBorder="true" applyAlignment="true" applyProtection="true">
      <alignment horizontal="general" vertical="bottom" textRotation="0" wrapText="false" indent="0" shrinkToFit="false"/>
      <protection locked="true" hidden="false"/>
    </xf>
    <xf numFmtId="164" fontId="53" fillId="12" borderId="6" xfId="40" applyFont="true" applyBorder="true" applyAlignment="true" applyProtection="true">
      <alignment horizontal="general" vertical="bottom" textRotation="0" wrapText="false" indent="0" shrinkToFit="false"/>
      <protection locked="true" hidden="false"/>
    </xf>
    <xf numFmtId="164" fontId="0" fillId="12" borderId="0" xfId="40" applyFont="true" applyBorder="true" applyAlignment="true" applyProtection="true">
      <alignment horizontal="general" vertical="center" textRotation="0" wrapText="false" indent="0" shrinkToFit="false"/>
      <protection locked="true" hidden="false"/>
    </xf>
    <xf numFmtId="164" fontId="54" fillId="12" borderId="0" xfId="40" applyFont="true" applyBorder="true" applyAlignment="true" applyProtection="true">
      <alignment horizontal="right" vertical="center" textRotation="0" wrapText="false" indent="0" shrinkToFit="false"/>
      <protection locked="true" hidden="false"/>
    </xf>
    <xf numFmtId="164" fontId="0" fillId="12" borderId="6" xfId="40" applyFont="true" applyBorder="true" applyAlignment="true" applyProtection="true">
      <alignment horizontal="general" vertical="bottom" textRotation="0" wrapText="false" indent="0" shrinkToFit="false"/>
      <protection locked="true" hidden="false"/>
    </xf>
    <xf numFmtId="165" fontId="29" fillId="12" borderId="6" xfId="40" applyFont="true" applyBorder="true" applyAlignment="true" applyProtection="true">
      <alignment horizontal="center" vertical="top" textRotation="0" wrapText="true" indent="0" shrinkToFit="false"/>
      <protection locked="true" hidden="false"/>
    </xf>
    <xf numFmtId="164" fontId="0" fillId="2" borderId="0" xfId="0" applyFont="true" applyBorder="false" applyAlignment="true" applyProtection="true">
      <alignment horizontal="general" vertical="bottom" textRotation="0" wrapText="false" indent="0" shrinkToFit="false"/>
      <protection locked="true" hidden="false"/>
    </xf>
    <xf numFmtId="164" fontId="54" fillId="12" borderId="6" xfId="40" applyFont="true" applyBorder="true" applyAlignment="true" applyProtection="true">
      <alignment horizontal="general" vertical="bottom" textRotation="0" wrapText="false" indent="0" shrinkToFit="false"/>
      <protection locked="true" hidden="false"/>
    </xf>
    <xf numFmtId="164" fontId="28" fillId="12" borderId="37" xfId="40" applyFont="true" applyBorder="true" applyAlignment="true" applyProtection="true">
      <alignment horizontal="general" vertical="bottom" textRotation="0" wrapText="false" indent="0" shrinkToFit="false"/>
      <protection locked="true" hidden="false"/>
    </xf>
    <xf numFmtId="164" fontId="29" fillId="12" borderId="33" xfId="40" applyFont="true" applyBorder="true" applyAlignment="true" applyProtection="true">
      <alignment horizontal="general" vertical="center" textRotation="0" wrapText="false" indent="0" shrinkToFit="false"/>
      <protection locked="true" hidden="false"/>
    </xf>
    <xf numFmtId="164" fontId="29" fillId="12" borderId="33" xfId="40" applyFont="true" applyBorder="true" applyAlignment="true" applyProtection="true">
      <alignment horizontal="right" vertical="center" textRotation="0" wrapText="false" indent="0" shrinkToFit="false"/>
      <protection locked="true" hidden="false"/>
    </xf>
    <xf numFmtId="164" fontId="29" fillId="12" borderId="6" xfId="40" applyFont="true" applyBorder="true" applyAlignment="true" applyProtection="true">
      <alignment horizontal="general" vertical="bottom" textRotation="0" wrapText="false" indent="0" shrinkToFit="false"/>
      <protection locked="true" hidden="false"/>
    </xf>
    <xf numFmtId="164" fontId="29" fillId="12" borderId="0" xfId="40" applyFont="true" applyBorder="true" applyAlignment="true" applyProtection="true">
      <alignment horizontal="general" vertical="center" textRotation="0" wrapText="false" indent="0" shrinkToFit="false"/>
      <protection locked="true" hidden="false"/>
    </xf>
    <xf numFmtId="164" fontId="29" fillId="12" borderId="0" xfId="40" applyFont="true" applyBorder="true" applyAlignment="true" applyProtection="true">
      <alignment horizontal="right" vertical="center" textRotation="0" wrapText="false" indent="0" shrinkToFit="false"/>
      <protection locked="true" hidden="false"/>
    </xf>
    <xf numFmtId="164" fontId="29" fillId="12" borderId="6" xfId="40" applyFont="true" applyBorder="true" applyAlignment="true" applyProtection="true">
      <alignment horizontal="general" vertical="bottom" textRotation="0" wrapText="true" indent="0" shrinkToFit="false"/>
      <protection locked="true" hidden="false"/>
    </xf>
    <xf numFmtId="164" fontId="0" fillId="12" borderId="6" xfId="0" applyFont="true" applyBorder="true" applyAlignment="true" applyProtection="true">
      <alignment horizontal="general" vertical="bottom" textRotation="0" wrapText="false" indent="0" shrinkToFit="false"/>
      <protection locked="true" hidden="false"/>
    </xf>
    <xf numFmtId="164" fontId="4" fillId="12" borderId="6" xfId="40" applyFont="true" applyBorder="true" applyAlignment="true" applyProtection="true">
      <alignment horizontal="general" vertical="bottom" textRotation="0" wrapText="false" indent="0" shrinkToFit="false"/>
      <protection locked="true" hidden="false"/>
    </xf>
    <xf numFmtId="164" fontId="4" fillId="15" borderId="3" xfId="40" applyFont="true" applyBorder="true" applyAlignment="true" applyProtection="true">
      <alignment horizontal="center" vertical="bottom" textRotation="0" wrapText="false" indent="0" shrinkToFit="false"/>
      <protection locked="true" hidden="false"/>
    </xf>
    <xf numFmtId="166" fontId="4" fillId="7" borderId="3" xfId="40" applyFont="true" applyBorder="true" applyAlignment="true" applyProtection="true">
      <alignment horizontal="center" vertical="bottom" textRotation="0" wrapText="false" indent="0" shrinkToFit="false"/>
      <protection locked="true" hidden="false"/>
    </xf>
    <xf numFmtId="164" fontId="4" fillId="12" borderId="3" xfId="40" applyFont="true" applyBorder="true" applyAlignment="true" applyProtection="true">
      <alignment horizontal="general" vertical="bottom" textRotation="0" wrapText="false" indent="0" shrinkToFit="false"/>
      <protection locked="true" hidden="false"/>
    </xf>
    <xf numFmtId="164" fontId="4" fillId="15" borderId="3" xfId="40" applyFont="false" applyBorder="true" applyAlignment="true" applyProtection="true">
      <alignment horizontal="center" vertical="center" textRotation="0" wrapText="false" indent="0" shrinkToFit="false"/>
      <protection locked="true" hidden="false"/>
    </xf>
    <xf numFmtId="164" fontId="4" fillId="12" borderId="34" xfId="40" applyFont="true" applyBorder="true" applyAlignment="true" applyProtection="true">
      <alignment horizontal="general" vertical="bottom" textRotation="0" wrapText="false" indent="0" shrinkToFit="false"/>
      <protection locked="true" hidden="false"/>
    </xf>
    <xf numFmtId="165" fontId="4" fillId="0" borderId="3" xfId="40" applyFont="true" applyBorder="true" applyAlignment="true" applyProtection="true">
      <alignment horizontal="center" vertical="center" textRotation="0" wrapText="false" indent="0" shrinkToFit="false"/>
      <protection locked="true" hidden="false"/>
    </xf>
    <xf numFmtId="164" fontId="0" fillId="6" borderId="0" xfId="0" applyFont="true" applyBorder="false" applyAlignment="true" applyProtection="true">
      <alignment horizontal="right" vertical="bottom" textRotation="0" wrapText="false" indent="0" shrinkToFit="false"/>
      <protection locked="true" hidden="false"/>
    </xf>
    <xf numFmtId="164" fontId="55" fillId="0" borderId="0" xfId="0" applyFont="true" applyBorder="false" applyAlignment="true" applyProtection="true">
      <alignment horizontal="general" vertical="bottom" textRotation="0" wrapText="true" indent="0" shrinkToFit="false"/>
      <protection locked="true" hidden="false"/>
    </xf>
    <xf numFmtId="164" fontId="55" fillId="0" borderId="0" xfId="0" applyFont="true" applyBorder="false" applyAlignment="true" applyProtection="true">
      <alignment horizontal="general" vertical="bottom" textRotation="0" wrapText="false" indent="0" shrinkToFit="false"/>
      <protection locked="true" hidden="false"/>
    </xf>
    <xf numFmtId="164" fontId="40" fillId="18" borderId="0" xfId="40" applyFont="true" applyBorder="false" applyAlignment="true" applyProtection="true">
      <alignment horizontal="center" vertical="bottom" textRotation="0" wrapText="false" indent="0" shrinkToFit="false"/>
      <protection locked="true" hidden="false"/>
    </xf>
    <xf numFmtId="164" fontId="4" fillId="0" borderId="0" xfId="40" applyFont="true" applyBorder="false" applyAlignment="true" applyProtection="true">
      <alignment horizontal="right" vertical="bottom" textRotation="0" wrapText="false" indent="0" shrinkToFit="false"/>
      <protection locked="true" hidden="false"/>
    </xf>
    <xf numFmtId="165" fontId="4" fillId="7" borderId="0" xfId="40" applyFont="true" applyBorder="false" applyAlignment="true" applyProtection="true">
      <alignment horizontal="center" vertical="bottom" textRotation="0" wrapText="false" indent="0" shrinkToFit="false"/>
      <protection locked="true" hidden="false"/>
    </xf>
    <xf numFmtId="165" fontId="4" fillId="8" borderId="0" xfId="40" applyFont="false" applyBorder="false" applyAlignment="true" applyProtection="true">
      <alignment horizontal="center" vertical="bottom" textRotation="0" wrapText="false" indent="0" shrinkToFit="false"/>
      <protection locked="true" hidden="false"/>
    </xf>
    <xf numFmtId="165" fontId="4" fillId="0" borderId="0" xfId="40" applyFont="true" applyBorder="fals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right" vertical="bottom" textRotation="0" wrapText="false" indent="0" shrinkToFit="false"/>
      <protection locked="true" hidden="false"/>
    </xf>
    <xf numFmtId="165" fontId="0" fillId="0" borderId="0" xfId="0" applyFont="true" applyBorder="false" applyAlignment="true" applyProtection="true">
      <alignment horizontal="center" vertical="bottom" textRotation="0" wrapText="false" indent="0" shrinkToFit="false"/>
      <protection locked="true" hidden="false"/>
    </xf>
    <xf numFmtId="164" fontId="0" fillId="35" borderId="3" xfId="0" applyFont="true" applyBorder="true" applyAlignment="true" applyProtection="true">
      <alignment horizontal="center" vertical="bottom" textRotation="0" wrapText="false" indent="0" shrinkToFit="false"/>
      <protection locked="true" hidden="false"/>
    </xf>
    <xf numFmtId="166" fontId="0" fillId="0" borderId="3" xfId="0" applyFont="false" applyBorder="true" applyAlignment="true" applyProtection="true">
      <alignment horizontal="center" vertical="bottom" textRotation="0" wrapText="false" indent="0" shrinkToFit="false"/>
      <protection locked="true" hidden="false"/>
    </xf>
    <xf numFmtId="178" fontId="0" fillId="0" borderId="0" xfId="0" applyFont="true" applyBorder="false" applyAlignment="true" applyProtection="true">
      <alignment horizontal="center" vertical="bottom" textRotation="0" wrapText="false" indent="0" shrinkToFit="false"/>
      <protection locked="true" hidden="false"/>
    </xf>
    <xf numFmtId="164" fontId="9" fillId="0" borderId="3" xfId="0" applyFont="true" applyBorder="true" applyAlignment="true" applyProtection="true">
      <alignment horizontal="center" vertical="bottom" textRotation="0" wrapText="true" indent="0" shrinkToFit="false"/>
      <protection locked="true" hidden="false"/>
    </xf>
    <xf numFmtId="178" fontId="0" fillId="0" borderId="0" xfId="0" applyFont="false" applyBorder="false" applyAlignment="true" applyProtection="true">
      <alignment horizontal="center" vertical="bottom" textRotation="0" wrapText="false" indent="0" shrinkToFit="false"/>
      <protection locked="true" hidden="false"/>
    </xf>
    <xf numFmtId="164" fontId="0" fillId="0" borderId="3" xfId="0" applyFont="false" applyBorder="true" applyAlignment="true" applyProtection="true">
      <alignment horizontal="center" vertical="bottom" textRotation="0" wrapText="false" indent="0" shrinkToFit="false"/>
      <protection locked="true" hidden="false"/>
    </xf>
    <xf numFmtId="164" fontId="0" fillId="35" borderId="0" xfId="0" applyFont="true" applyBorder="false" applyAlignment="true" applyProtection="true">
      <alignment horizontal="center" vertical="bottom" textRotation="0" wrapText="false" indent="0" shrinkToFit="false"/>
      <protection locked="true" hidden="false"/>
    </xf>
    <xf numFmtId="165" fontId="0" fillId="0" borderId="0" xfId="0" applyFont="false" applyBorder="false" applyAlignment="true" applyProtection="true">
      <alignment horizontal="center" vertical="bottom" textRotation="0" wrapText="false" indent="0" shrinkToFit="false"/>
      <protection locked="true" hidden="false"/>
    </xf>
    <xf numFmtId="164" fontId="0" fillId="13" borderId="0" xfId="0" applyFont="true" applyBorder="false" applyAlignment="true" applyProtection="true">
      <alignment horizontal="general" vertical="bottom" textRotation="0" wrapText="false" indent="0" shrinkToFit="false"/>
      <protection locked="true" hidden="false"/>
    </xf>
    <xf numFmtId="166" fontId="0" fillId="0" borderId="0" xfId="0" applyFont="false" applyBorder="false" applyAlignment="true" applyProtection="true">
      <alignment horizontal="general" vertical="bottom" textRotation="0" wrapText="false" indent="0" shrinkToFit="false"/>
      <protection locked="true" hidden="false"/>
    </xf>
    <xf numFmtId="164" fontId="0" fillId="35" borderId="0" xfId="0" applyFont="true" applyBorder="true" applyAlignment="true" applyProtection="true">
      <alignment horizontal="center" vertical="bottom" textRotation="0" wrapText="false" indent="0" shrinkToFit="false"/>
      <protection locked="true" hidden="false"/>
    </xf>
    <xf numFmtId="164" fontId="9" fillId="0" borderId="0" xfId="0" applyFont="true" applyBorder="false" applyAlignment="true" applyProtection="true">
      <alignment horizontal="center" vertical="bottom" textRotation="0" wrapText="true" indent="0" shrinkToFit="false"/>
      <protection locked="true" hidden="false"/>
    </xf>
    <xf numFmtId="165" fontId="0" fillId="0" borderId="0" xfId="0" applyFont="true" applyBorder="false" applyAlignment="true" applyProtection="true">
      <alignment horizontal="general" vertical="bottom" textRotation="0" wrapText="tru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0" fillId="35" borderId="0" xfId="0" applyFont="true" applyBorder="false" applyAlignment="true" applyProtection="false">
      <alignment horizontal="center" vertical="center" textRotation="0" wrapText="false" indent="0" shrinkToFit="false"/>
      <protection locked="true" hidden="false"/>
    </xf>
    <xf numFmtId="164" fontId="56" fillId="36" borderId="0" xfId="0" applyFont="true" applyBorder="fals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57" fillId="0" borderId="0" xfId="0" applyFont="true" applyBorder="false" applyAlignment="true" applyProtection="false">
      <alignment horizontal="center" vertical="center" textRotation="0" wrapText="true" indent="0" shrinkToFit="false"/>
      <protection locked="true" hidden="false"/>
    </xf>
    <xf numFmtId="189" fontId="0" fillId="35" borderId="3" xfId="0" applyFont="false" applyBorder="true" applyAlignment="false" applyProtection="false">
      <alignment horizontal="general" vertical="bottom" textRotation="0" wrapText="false" indent="0" shrinkToFit="false"/>
      <protection locked="true" hidden="false"/>
    </xf>
    <xf numFmtId="166" fontId="0" fillId="35" borderId="3" xfId="0" applyFont="false" applyBorder="true" applyAlignment="false" applyProtection="false">
      <alignment horizontal="general" vertical="bottom" textRotation="0" wrapText="false" indent="0" shrinkToFit="false"/>
      <protection locked="true" hidden="false"/>
    </xf>
    <xf numFmtId="189" fontId="0" fillId="0" borderId="0" xfId="0" applyFont="false" applyBorder="false" applyAlignment="true" applyProtection="false">
      <alignment horizontal="center" vertical="center" textRotation="0" wrapText="false" indent="0" shrinkToFit="false"/>
      <protection locked="true" hidden="false"/>
    </xf>
    <xf numFmtId="164" fontId="0" fillId="0" borderId="0" xfId="0" applyFont="true" applyBorder="false" applyAlignment="true" applyProtection="false">
      <alignment horizontal="center" vertical="center" textRotation="0" wrapText="true" indent="0" shrinkToFit="false"/>
      <protection locked="true" hidden="false"/>
    </xf>
    <xf numFmtId="164" fontId="0" fillId="17" borderId="3" xfId="0" applyFont="true" applyBorder="true" applyAlignment="true" applyProtection="false">
      <alignment horizontal="center" vertical="center" textRotation="0" wrapText="false" indent="0" shrinkToFit="false"/>
      <protection locked="true" hidden="false"/>
    </xf>
    <xf numFmtId="164" fontId="58" fillId="37" borderId="0" xfId="0" applyFont="true" applyBorder="false" applyAlignment="true" applyProtection="false">
      <alignment horizontal="center" vertical="bottom" textRotation="0" wrapText="true" indent="0" shrinkToFit="false"/>
      <protection locked="true" hidden="false"/>
    </xf>
    <xf numFmtId="164" fontId="59" fillId="37" borderId="0" xfId="0" applyFont="true" applyBorder="false" applyAlignment="true" applyProtection="false">
      <alignment horizontal="general" vertical="bottom" textRotation="0" wrapText="true" indent="0" shrinkToFit="false"/>
      <protection locked="true" hidden="false"/>
    </xf>
    <xf numFmtId="166" fontId="59" fillId="37" borderId="0" xfId="0" applyFont="true" applyBorder="false" applyAlignment="true" applyProtection="false">
      <alignment horizontal="general" vertical="bottom" textRotation="0" wrapText="true" indent="0" shrinkToFit="false"/>
      <protection locked="true" hidden="false"/>
    </xf>
    <xf numFmtId="164" fontId="17" fillId="0" borderId="0" xfId="0" applyFont="true" applyBorder="false" applyAlignment="true" applyProtection="false">
      <alignment horizontal="center" vertical="bottom" textRotation="0" wrapText="true" indent="0" shrinkToFit="false"/>
      <protection locked="true" hidden="false"/>
    </xf>
    <xf numFmtId="164" fontId="9" fillId="0" borderId="0" xfId="0" applyFont="true" applyBorder="false" applyAlignment="true" applyProtection="false">
      <alignment horizontal="center"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true" applyBorder="false" applyAlignment="true" applyProtection="false">
      <alignment horizontal="general" vertical="bottom" textRotation="0" wrapText="true" indent="0" shrinkToFit="false"/>
      <protection locked="true" hidden="false"/>
    </xf>
    <xf numFmtId="165" fontId="0" fillId="0" borderId="0" xfId="0" applyFont="false" applyBorder="false" applyAlignment="true" applyProtection="false">
      <alignment horizontal="center" vertical="center" textRotation="0" wrapText="false" indent="0" shrinkToFit="false"/>
      <protection locked="true" hidden="false"/>
    </xf>
    <xf numFmtId="164" fontId="9" fillId="0" borderId="0" xfId="0" applyFont="true" applyBorder="false" applyAlignment="true" applyProtection="false">
      <alignment horizontal="general" vertical="bottom" textRotation="0" wrapText="true" indent="0" shrinkToFit="false"/>
      <protection locked="true" hidden="false"/>
    </xf>
    <xf numFmtId="166" fontId="9" fillId="0" borderId="0" xfId="0" applyFont="true" applyBorder="false" applyAlignment="true" applyProtection="false">
      <alignment horizontal="general" vertical="bottom" textRotation="0" wrapText="true" indent="0" shrinkToFit="false"/>
      <protection locked="true" hidden="false"/>
    </xf>
  </cellXfs>
  <cellStyles count="27">
    <cellStyle name="Normal" xfId="0" builtinId="0"/>
    <cellStyle name="Comma" xfId="15" builtinId="3"/>
    <cellStyle name="Comma [0]" xfId="16" builtinId="6"/>
    <cellStyle name="Currency" xfId="17" builtinId="4"/>
    <cellStyle name="Currency [0]" xfId="18" builtinId="7"/>
    <cellStyle name="Percent" xfId="19" builtinId="5"/>
    <cellStyle name="Untitled1" xfId="21"/>
    <cellStyle name="Untitled10" xfId="22"/>
    <cellStyle name="Untitled11" xfId="23"/>
    <cellStyle name="Untitled12" xfId="24"/>
    <cellStyle name="Untitled13" xfId="25"/>
    <cellStyle name="Untitled14" xfId="26"/>
    <cellStyle name="Untitled15" xfId="27"/>
    <cellStyle name="Untitled16" xfId="28"/>
    <cellStyle name="Untitled17" xfId="29"/>
    <cellStyle name="Untitled18" xfId="30"/>
    <cellStyle name="Untitled19" xfId="31"/>
    <cellStyle name="Untitled2" xfId="32"/>
    <cellStyle name="Untitled3" xfId="33"/>
    <cellStyle name="Untitled4" xfId="34"/>
    <cellStyle name="Untitled5" xfId="35"/>
    <cellStyle name="Untitled6" xfId="36"/>
    <cellStyle name="Untitled7" xfId="37"/>
    <cellStyle name="Untitled8" xfId="38"/>
    <cellStyle name="Untitled9" xfId="39"/>
    <cellStyle name="Excel Built-in Normal" xfId="40"/>
    <cellStyle name="*unknown*" xfId="20" builtinId="8"/>
  </cellStyles>
  <dxfs count="15">
    <dxf>
      <font>
        <name val="Arial"/>
        <family val="2"/>
      </font>
      <fill>
        <patternFill>
          <bgColor rgb="FFFF0000"/>
        </patternFill>
      </fill>
    </dxf>
    <dxf>
      <font>
        <name val="Arial"/>
        <family val="2"/>
        <color rgb="FFFFFFFF"/>
      </font>
    </dxf>
    <dxf>
      <font>
        <name val="Arial"/>
        <family val="2"/>
        <color rgb="FF000000"/>
      </font>
      <fill>
        <patternFill>
          <bgColor rgb="FFEAEAEA"/>
        </patternFill>
      </fill>
    </dxf>
    <dxf>
      <font>
        <name val="Arial"/>
        <family val="2"/>
        <color rgb="FF000000"/>
      </font>
      <fill>
        <patternFill>
          <bgColor rgb="FFFFFFFF"/>
        </patternFill>
      </fill>
    </dxf>
    <dxf>
      <font>
        <name val="Arial"/>
        <family val="2"/>
      </font>
      <fill>
        <patternFill>
          <bgColor rgb="FF00A933"/>
        </patternFill>
      </fill>
    </dxf>
    <dxf>
      <font>
        <name val="Arial"/>
        <family val="2"/>
      </font>
      <fill>
        <patternFill>
          <bgColor rgb="FFFF0000"/>
        </patternFill>
      </fill>
    </dxf>
    <dxf>
      <font>
        <name val="Arial"/>
        <family val="2"/>
        <color rgb="FFFF0000"/>
      </font>
      <fill>
        <patternFill>
          <bgColor rgb="FF000000"/>
        </patternFill>
      </fill>
    </dxf>
    <dxf>
      <font>
        <name val="Arial"/>
        <family val="2"/>
      </font>
      <fill>
        <patternFill>
          <bgColor rgb="FFFF4000"/>
        </patternFill>
      </fill>
    </dxf>
    <dxf>
      <font>
        <name val="Arial"/>
        <family val="2"/>
      </font>
      <fill>
        <patternFill>
          <bgColor rgb="FFFF0000"/>
        </patternFill>
      </fill>
    </dxf>
    <dxf>
      <font>
        <name val="Arial"/>
        <family val="2"/>
      </font>
      <fill>
        <patternFill>
          <bgColor rgb="FFFF0000"/>
        </patternFill>
      </fill>
    </dxf>
    <dxf>
      <font>
        <name val="Arial"/>
        <family val="2"/>
      </font>
      <fill>
        <patternFill>
          <bgColor rgb="FFFF0000"/>
        </patternFill>
      </fill>
    </dxf>
    <dxf>
      <font>
        <name val="Arial"/>
        <family val="2"/>
      </font>
    </dxf>
    <dxf>
      <font>
        <name val="Arial"/>
        <family val="2"/>
      </font>
      <fill>
        <patternFill>
          <bgColor rgb="FF00A933"/>
        </patternFill>
      </fill>
    </dxf>
    <dxf>
      <font>
        <name val="Arial"/>
        <family val="2"/>
        <color rgb="FF000000"/>
      </font>
      <fill>
        <patternFill>
          <bgColor rgb="FF000000"/>
        </patternFill>
      </fill>
    </dxf>
    <dxf>
      <font>
        <name val="Arial"/>
        <family val="2"/>
        <b val="1"/>
        <color rgb="FF158466"/>
      </font>
    </dxf>
  </dxfs>
  <colors>
    <indexedColors>
      <rgbColor rgb="FF000000"/>
      <rgbColor rgb="FFFFFFFF"/>
      <rgbColor rgb="FFFF0000"/>
      <rgbColor rgb="FF00A933"/>
      <rgbColor rgb="FF0000FF"/>
      <rgbColor rgb="FFFFFF38"/>
      <rgbColor rgb="FFFF4000"/>
      <rgbColor rgb="FFCCCCCC"/>
      <rgbColor rgb="FFC5000B"/>
      <rgbColor rgb="FF127622"/>
      <rgbColor rgb="FF004586"/>
      <rgbColor rgb="FF588003"/>
      <rgbColor rgb="FF8C186A"/>
      <rgbColor rgb="FF158466"/>
      <rgbColor rgb="FFC0C0C0"/>
      <rgbColor rgb="FF808080"/>
      <rgbColor rgb="FF729FCF"/>
      <rgbColor rgb="FF666666"/>
      <rgbColor rgb="FFEEEEEE"/>
      <rgbColor rgb="FFDEE6EF"/>
      <rgbColor rgb="FFE8A202"/>
      <rgbColor rgb="FFFF6D6D"/>
      <rgbColor rgb="FF2A6099"/>
      <rgbColor rgb="FFCCD9E1"/>
      <rgbColor rgb="FF336887"/>
      <rgbColor rgb="FFFFDE59"/>
      <rgbColor rgb="FFFFD320"/>
      <rgbColor rgb="FFDDDDDD"/>
      <rgbColor rgb="FFFF420E"/>
      <rgbColor rgb="FFF10D0C"/>
      <rgbColor rgb="FF168253"/>
      <rgbColor rgb="FFEAEAEA"/>
      <rgbColor rgb="FF5983B0"/>
      <rgbColor rgb="FFDEE7E5"/>
      <rgbColor rgb="FFD9EDC1"/>
      <rgbColor rgb="FFFFE994"/>
      <rgbColor rgb="FF83CAFF"/>
      <rgbColor rgb="FFE0C2CD"/>
      <rgbColor rgb="FFB3B3B3"/>
      <rgbColor rgb="FFFFD7D7"/>
      <rgbColor rgb="FF3465A4"/>
      <rgbColor rgb="FF77BC65"/>
      <rgbColor rgb="FFAECF00"/>
      <rgbColor rgb="FFFFBF00"/>
      <rgbColor rgb="FFFF950E"/>
      <rgbColor rgb="FFEA7500"/>
      <rgbColor rgb="FF6B5E9B"/>
      <rgbColor rgb="FFB2B2B2"/>
      <rgbColor rgb="FF004269"/>
      <rgbColor rgb="FF069A2E"/>
      <rgbColor rgb="FF111111"/>
      <rgbColor rgb="FF1C1C1C"/>
      <rgbColor rgb="FFBE480A"/>
      <rgbColor rgb="FFB85C00"/>
      <rgbColor rgb="FF5B277D"/>
      <rgbColor rgb="FF333328"/>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sz="1300" b="0" u="none" strike="noStrike">
                <a:uFillTx/>
                <a:latin typeface="Arial"/>
              </a:defRPr>
            </a:pPr>
            <a:r>
              <a:rPr sz="1300" b="0" u="none" strike="noStrike">
                <a:solidFill>
                  <a:srgbClr val="000000"/>
                </a:solidFill>
                <a:uFillTx/>
                <a:latin typeface="Arial"/>
                <a:ea typeface="DejaVu Sans"/>
              </a:rPr>
              <a:t>GRAPH</a:t>
            </a:r>
          </a:p>
        </c:rich>
      </c:tx>
      <c:overlay val="0"/>
      <c:spPr>
        <a:noFill/>
        <a:ln w="0">
          <a:noFill/>
        </a:ln>
      </c:spPr>
    </c:title>
    <c:autoTitleDeleted val="0"/>
    <c:plotArea>
      <c:lineChart>
        <c:grouping val="stacked"/>
        <c:varyColors val="0"/>
        <c:ser>
          <c:idx val="0"/>
          <c:order val="0"/>
          <c:tx>
            <c:strRef>
              <c:f>Worksheet!$G$27</c:f>
              <c:strCache>
                <c:ptCount val="1"/>
                <c:pt idx="0">
                  <c:v>Balance</c:v>
                </c:pt>
              </c:strCache>
            </c:strRef>
          </c:tx>
          <c:spPr>
            <a:solidFill>
              <a:srgbClr val="000000">
                <a:alpha val="80000"/>
              </a:srgbClr>
            </a:solidFill>
            <a:ln cap="rnd" w="18360">
              <a:solidFill>
                <a:srgbClr val="000000">
                  <a:alpha val="80000"/>
                </a:srgbClr>
              </a:solidFill>
              <a:prstDash val="lgDashDot"/>
              <a:round/>
            </a:ln>
          </c:spPr>
          <c:marker>
            <c:symbol val="plus"/>
            <c:size val="2"/>
            <c:spPr>
              <a:solidFill>
                <a:srgbClr val="000000"/>
              </a:solidFill>
            </c:spPr>
          </c:marker>
          <c:dLbls>
            <c:txPr>
              <a:bodyPr wrap="none"/>
              <a:lstStyle/>
              <a:p>
                <a:pPr>
                  <a:defRPr sz="1000" b="0" u="none" strike="noStrike">
                    <a:solidFill>
                      <a:srgbClr val="000000"/>
                    </a:solidFill>
                    <a:uFillTx/>
                    <a:latin typeface="Arial"/>
                    <a:ea typeface="DejaVu Sans"/>
                  </a:defRPr>
                </a:pPr>
              </a:p>
            </c:txPr>
            <c:dLblPos val="r"/>
            <c:showLegendKey val="0"/>
            <c:showVal val="0"/>
            <c:showCatName val="0"/>
            <c:showSerName val="0"/>
            <c:showPercent val="0"/>
            <c:separator> </c:separator>
            <c:showLeaderLines val="1"/>
            <c:leaderLines>
              <c:spPr>
                <a:ln cap="rnd" w="18360">
                  <a:solidFill>
                    <a:srgbClr val="000000"/>
                  </a:solidFill>
                  <a:prstDash val="lgDashDot"/>
                </a:ln>
              </c:spPr>
            </c:leaderLines>
            <c:extLst>
              <c:ext xmlns:c15="http://schemas.microsoft.com/office/drawing/2012/chart" uri="{CE6537A1-D6FC-4f65-9D91-7224C49458BB}">
                <c15:showLeaderLines val="1"/>
              </c:ext>
            </c:extLst>
          </c:dLbls>
          <c:cat>
            <c:strRef>
              <c:f>Worksheet!$C$29:$C$728</c:f>
              <c:strCache>
                <c:ptCount val="700"/>
                <c:pt idx="0">
                  <c:v>61.1</c:v>
                </c:pt>
                <c:pt idx="1">
                  <c:v>61.2</c:v>
                </c:pt>
                <c:pt idx="2">
                  <c:v>61.3</c:v>
                </c:pt>
                <c:pt idx="3">
                  <c:v>61.4</c:v>
                </c:pt>
                <c:pt idx="4">
                  <c:v>61.5</c:v>
                </c:pt>
                <c:pt idx="5">
                  <c:v>61.6</c:v>
                </c:pt>
                <c:pt idx="6">
                  <c:v>61.6</c:v>
                </c:pt>
                <c:pt idx="7">
                  <c:v>61.7</c:v>
                </c:pt>
                <c:pt idx="8">
                  <c:v>61.8</c:v>
                </c:pt>
                <c:pt idx="9">
                  <c:v>61.9</c:v>
                </c:pt>
                <c:pt idx="10">
                  <c:v>62.0</c:v>
                </c:pt>
                <c:pt idx="11">
                  <c:v>62.1</c:v>
                </c:pt>
                <c:pt idx="12">
                  <c:v>62.1</c:v>
                </c:pt>
                <c:pt idx="13">
                  <c:v>62.2</c:v>
                </c:pt>
                <c:pt idx="14">
                  <c:v>62.3</c:v>
                </c:pt>
                <c:pt idx="15">
                  <c:v>62.4</c:v>
                </c:pt>
                <c:pt idx="16">
                  <c:v>62.5</c:v>
                </c:pt>
                <c:pt idx="17">
                  <c:v>62.6</c:v>
                </c:pt>
                <c:pt idx="18">
                  <c:v>62.6</c:v>
                </c:pt>
                <c:pt idx="19">
                  <c:v>62.7</c:v>
                </c:pt>
                <c:pt idx="20">
                  <c:v>62.8</c:v>
                </c:pt>
                <c:pt idx="21">
                  <c:v>62.9</c:v>
                </c:pt>
                <c:pt idx="22">
                  <c:v>63.0</c:v>
                </c:pt>
                <c:pt idx="23">
                  <c:v>63.1</c:v>
                </c:pt>
                <c:pt idx="24">
                  <c:v>63.1</c:v>
                </c:pt>
                <c:pt idx="25">
                  <c:v>63.2</c:v>
                </c:pt>
                <c:pt idx="26">
                  <c:v>63.3</c:v>
                </c:pt>
                <c:pt idx="27">
                  <c:v>63.4</c:v>
                </c:pt>
                <c:pt idx="28">
                  <c:v>63.5</c:v>
                </c:pt>
                <c:pt idx="29">
                  <c:v>63.6</c:v>
                </c:pt>
                <c:pt idx="30">
                  <c:v>63.6</c:v>
                </c:pt>
                <c:pt idx="31">
                  <c:v>63.7</c:v>
                </c:pt>
                <c:pt idx="32">
                  <c:v>63.8</c:v>
                </c:pt>
                <c:pt idx="33">
                  <c:v>63.9</c:v>
                </c:pt>
                <c:pt idx="34">
                  <c:v>64.0</c:v>
                </c:pt>
                <c:pt idx="35">
                  <c:v>64.1</c:v>
                </c:pt>
                <c:pt idx="36">
                  <c:v>64.1</c:v>
                </c:pt>
                <c:pt idx="37">
                  <c:v>64.2</c:v>
                </c:pt>
                <c:pt idx="38">
                  <c:v>64.3</c:v>
                </c:pt>
                <c:pt idx="39">
                  <c:v>64.4</c:v>
                </c:pt>
                <c:pt idx="40">
                  <c:v>64.5</c:v>
                </c:pt>
                <c:pt idx="41">
                  <c:v>64.6</c:v>
                </c:pt>
                <c:pt idx="42">
                  <c:v>64.6</c:v>
                </c:pt>
                <c:pt idx="43">
                  <c:v>64.7</c:v>
                </c:pt>
                <c:pt idx="44">
                  <c:v>64.8</c:v>
                </c:pt>
                <c:pt idx="45">
                  <c:v>64.9</c:v>
                </c:pt>
                <c:pt idx="46">
                  <c:v>65.0</c:v>
                </c:pt>
                <c:pt idx="47">
                  <c:v>65.1</c:v>
                </c:pt>
                <c:pt idx="48">
                  <c:v>65.1</c:v>
                </c:pt>
                <c:pt idx="49">
                  <c:v>65.2</c:v>
                </c:pt>
                <c:pt idx="50">
                  <c:v>65.3</c:v>
                </c:pt>
                <c:pt idx="51">
                  <c:v>65.4</c:v>
                </c:pt>
                <c:pt idx="52">
                  <c:v>65.5</c:v>
                </c:pt>
                <c:pt idx="53">
                  <c:v>65.6</c:v>
                </c:pt>
                <c:pt idx="54">
                  <c:v>65.6</c:v>
                </c:pt>
                <c:pt idx="55">
                  <c:v>65.7</c:v>
                </c:pt>
                <c:pt idx="56">
                  <c:v>65.8</c:v>
                </c:pt>
                <c:pt idx="57">
                  <c:v>65.9</c:v>
                </c:pt>
                <c:pt idx="58">
                  <c:v>66.0</c:v>
                </c:pt>
                <c:pt idx="59">
                  <c:v>66.1</c:v>
                </c:pt>
                <c:pt idx="60">
                  <c:v>66.1</c:v>
                </c:pt>
                <c:pt idx="61">
                  <c:v>66.2</c:v>
                </c:pt>
                <c:pt idx="62">
                  <c:v>66.3</c:v>
                </c:pt>
                <c:pt idx="63">
                  <c:v>66.4</c:v>
                </c:pt>
                <c:pt idx="64">
                  <c:v>66.5</c:v>
                </c:pt>
                <c:pt idx="65">
                  <c:v>66.5</c:v>
                </c:pt>
                <c:pt idx="66">
                  <c:v>66.6</c:v>
                </c:pt>
                <c:pt idx="67">
                  <c:v>66.7</c:v>
                </c:pt>
                <c:pt idx="68">
                  <c:v>66.8</c:v>
                </c:pt>
                <c:pt idx="69">
                  <c:v>66.9</c:v>
                </c:pt>
                <c:pt idx="70">
                  <c:v>67.0</c:v>
                </c:pt>
                <c:pt idx="71">
                  <c:v>67.0</c:v>
                </c:pt>
                <c:pt idx="72">
                  <c:v>67.1</c:v>
                </c:pt>
                <c:pt idx="73">
                  <c:v>67.2</c:v>
                </c:pt>
                <c:pt idx="74">
                  <c:v>67.3</c:v>
                </c:pt>
                <c:pt idx="75">
                  <c:v>67.4</c:v>
                </c:pt>
                <c:pt idx="76">
                  <c:v>67.5</c:v>
                </c:pt>
                <c:pt idx="77">
                  <c:v>67.5</c:v>
                </c:pt>
                <c:pt idx="78">
                  <c:v>67.6</c:v>
                </c:pt>
                <c:pt idx="79">
                  <c:v>67.7</c:v>
                </c:pt>
                <c:pt idx="80">
                  <c:v>67.8</c:v>
                </c:pt>
                <c:pt idx="81">
                  <c:v>67.9</c:v>
                </c:pt>
                <c:pt idx="82">
                  <c:v>68.0</c:v>
                </c:pt>
                <c:pt idx="83">
                  <c:v>68.0</c:v>
                </c:pt>
                <c:pt idx="84">
                  <c:v>68.1</c:v>
                </c:pt>
                <c:pt idx="85">
                  <c:v>68.2</c:v>
                </c:pt>
                <c:pt idx="86">
                  <c:v>68.3</c:v>
                </c:pt>
                <c:pt idx="87">
                  <c:v>68.4</c:v>
                </c:pt>
                <c:pt idx="88">
                  <c:v>68.5</c:v>
                </c:pt>
                <c:pt idx="89">
                  <c:v>68.5</c:v>
                </c:pt>
                <c:pt idx="90">
                  <c:v>68.6</c:v>
                </c:pt>
                <c:pt idx="91">
                  <c:v>68.7</c:v>
                </c:pt>
                <c:pt idx="92">
                  <c:v>68.8</c:v>
                </c:pt>
                <c:pt idx="93">
                  <c:v>68.9</c:v>
                </c:pt>
                <c:pt idx="94">
                  <c:v>69.0</c:v>
                </c:pt>
                <c:pt idx="95">
                  <c:v>69.0</c:v>
                </c:pt>
                <c:pt idx="96">
                  <c:v>69.1</c:v>
                </c:pt>
                <c:pt idx="97">
                  <c:v>69.2</c:v>
                </c:pt>
                <c:pt idx="98">
                  <c:v>69.3</c:v>
                </c:pt>
                <c:pt idx="99">
                  <c:v>69.4</c:v>
                </c:pt>
                <c:pt idx="100">
                  <c:v>69.5</c:v>
                </c:pt>
                <c:pt idx="101">
                  <c:v>69.5</c:v>
                </c:pt>
                <c:pt idx="102">
                  <c:v>69.6</c:v>
                </c:pt>
                <c:pt idx="103">
                  <c:v>69.7</c:v>
                </c:pt>
                <c:pt idx="104">
                  <c:v>69.8</c:v>
                </c:pt>
                <c:pt idx="105">
                  <c:v>69.9</c:v>
                </c:pt>
                <c:pt idx="106">
                  <c:v>70.0</c:v>
                </c:pt>
                <c:pt idx="107">
                  <c:v>70.0</c:v>
                </c:pt>
                <c:pt idx="108">
                  <c:v>70.1</c:v>
                </c:pt>
                <c:pt idx="109">
                  <c:v>70.2</c:v>
                </c:pt>
                <c:pt idx="110">
                  <c:v>70.3</c:v>
                </c:pt>
                <c:pt idx="111">
                  <c:v>70.4</c:v>
                </c:pt>
                <c:pt idx="112">
                  <c:v>70.5</c:v>
                </c:pt>
                <c:pt idx="113">
                  <c:v>70.5</c:v>
                </c:pt>
                <c:pt idx="114">
                  <c:v>70.6</c:v>
                </c:pt>
                <c:pt idx="115">
                  <c:v>70.7</c:v>
                </c:pt>
                <c:pt idx="116">
                  <c:v>70.8</c:v>
                </c:pt>
                <c:pt idx="117">
                  <c:v>70.9</c:v>
                </c:pt>
                <c:pt idx="118">
                  <c:v>71.0</c:v>
                </c:pt>
                <c:pt idx="119">
                  <c:v>71.0</c:v>
                </c:pt>
                <c:pt idx="120">
                  <c:v>71.1</c:v>
                </c:pt>
                <c:pt idx="121">
                  <c:v>71.2</c:v>
                </c:pt>
                <c:pt idx="122">
                  <c:v>71.3</c:v>
                </c:pt>
                <c:pt idx="123">
                  <c:v>71.4</c:v>
                </c:pt>
                <c:pt idx="124">
                  <c:v>71.5</c:v>
                </c:pt>
                <c:pt idx="125">
                  <c:v>71.5</c:v>
                </c:pt>
                <c:pt idx="126">
                  <c:v>71.6</c:v>
                </c:pt>
                <c:pt idx="127">
                  <c:v>71.7</c:v>
                </c:pt>
                <c:pt idx="128">
                  <c:v>71.8</c:v>
                </c:pt>
                <c:pt idx="129">
                  <c:v>71.9</c:v>
                </c:pt>
                <c:pt idx="130">
                  <c:v>72.0</c:v>
                </c:pt>
                <c:pt idx="131">
                  <c:v>72.0</c:v>
                </c:pt>
                <c:pt idx="132">
                  <c:v>72.1</c:v>
                </c:pt>
                <c:pt idx="133">
                  <c:v>72.2</c:v>
                </c:pt>
                <c:pt idx="134">
                  <c:v>72.3</c:v>
                </c:pt>
                <c:pt idx="135">
                  <c:v>72.4</c:v>
                </c:pt>
                <c:pt idx="136">
                  <c:v>72.5</c:v>
                </c:pt>
                <c:pt idx="137">
                  <c:v>72.5</c:v>
                </c:pt>
                <c:pt idx="138">
                  <c:v>72.6</c:v>
                </c:pt>
                <c:pt idx="139">
                  <c:v>72.7</c:v>
                </c:pt>
                <c:pt idx="140">
                  <c:v>72.8</c:v>
                </c:pt>
                <c:pt idx="141">
                  <c:v>72.9</c:v>
                </c:pt>
                <c:pt idx="142">
                  <c:v>73.0</c:v>
                </c:pt>
                <c:pt idx="143">
                  <c:v>73.0</c:v>
                </c:pt>
                <c:pt idx="144">
                  <c:v>73.1</c:v>
                </c:pt>
                <c:pt idx="145">
                  <c:v>73.2</c:v>
                </c:pt>
                <c:pt idx="146">
                  <c:v>73.3</c:v>
                </c:pt>
                <c:pt idx="147">
                  <c:v>73.4</c:v>
                </c:pt>
                <c:pt idx="148">
                  <c:v>73.5</c:v>
                </c:pt>
                <c:pt idx="149">
                  <c:v>73.5</c:v>
                </c:pt>
                <c:pt idx="150">
                  <c:v>73.6</c:v>
                </c:pt>
                <c:pt idx="151">
                  <c:v>73.7</c:v>
                </c:pt>
                <c:pt idx="152">
                  <c:v>73.8</c:v>
                </c:pt>
                <c:pt idx="153">
                  <c:v>73.9</c:v>
                </c:pt>
                <c:pt idx="154">
                  <c:v>74.0</c:v>
                </c:pt>
                <c:pt idx="155">
                  <c:v>74.0</c:v>
                </c:pt>
                <c:pt idx="156">
                  <c:v>74.1</c:v>
                </c:pt>
                <c:pt idx="157">
                  <c:v>74.2</c:v>
                </c:pt>
                <c:pt idx="158">
                  <c:v>74.3</c:v>
                </c:pt>
                <c:pt idx="159">
                  <c:v>74.4</c:v>
                </c:pt>
                <c:pt idx="160">
                  <c:v>74.5</c:v>
                </c:pt>
                <c:pt idx="161">
                  <c:v>74.5</c:v>
                </c:pt>
                <c:pt idx="162">
                  <c:v>74.6</c:v>
                </c:pt>
                <c:pt idx="163">
                  <c:v>74.7</c:v>
                </c:pt>
                <c:pt idx="164">
                  <c:v>74.8</c:v>
                </c:pt>
                <c:pt idx="165">
                  <c:v>74.9</c:v>
                </c:pt>
                <c:pt idx="166">
                  <c:v>75.0</c:v>
                </c:pt>
                <c:pt idx="167">
                  <c:v>75.0</c:v>
                </c:pt>
                <c:pt idx="168">
                  <c:v>75.1</c:v>
                </c:pt>
                <c:pt idx="169">
                  <c:v>75.2</c:v>
                </c:pt>
                <c:pt idx="170">
                  <c:v>75.3</c:v>
                </c:pt>
                <c:pt idx="171">
                  <c:v>75.4</c:v>
                </c:pt>
                <c:pt idx="172">
                  <c:v>75.5</c:v>
                </c:pt>
                <c:pt idx="173">
                  <c:v>75.5</c:v>
                </c:pt>
                <c:pt idx="174">
                  <c:v>75.6</c:v>
                </c:pt>
                <c:pt idx="175">
                  <c:v>75.7</c:v>
                </c:pt>
                <c:pt idx="176">
                  <c:v>75.8</c:v>
                </c:pt>
                <c:pt idx="177">
                  <c:v>75.9</c:v>
                </c:pt>
                <c:pt idx="178">
                  <c:v>76.0</c:v>
                </c:pt>
                <c:pt idx="179">
                  <c:v>76.0</c:v>
                </c:pt>
                <c:pt idx="180">
                  <c:v>76.1</c:v>
                </c:pt>
                <c:pt idx="181">
                  <c:v>76.2</c:v>
                </c:pt>
                <c:pt idx="182">
                  <c:v>76.3</c:v>
                </c:pt>
                <c:pt idx="183">
                  <c:v>76.4</c:v>
                </c:pt>
                <c:pt idx="184">
                  <c:v>76.5</c:v>
                </c:pt>
                <c:pt idx="185">
                  <c:v>76.5</c:v>
                </c:pt>
                <c:pt idx="186">
                  <c:v>76.6</c:v>
                </c:pt>
                <c:pt idx="187">
                  <c:v>76.7</c:v>
                </c:pt>
                <c:pt idx="188">
                  <c:v>76.8</c:v>
                </c:pt>
                <c:pt idx="189">
                  <c:v>76.9</c:v>
                </c:pt>
                <c:pt idx="190">
                  <c:v>77.0</c:v>
                </c:pt>
                <c:pt idx="191">
                  <c:v>77.0</c:v>
                </c:pt>
                <c:pt idx="192">
                  <c:v>77.1</c:v>
                </c:pt>
                <c:pt idx="193">
                  <c:v>77.2</c:v>
                </c:pt>
                <c:pt idx="194">
                  <c:v>77.3</c:v>
                </c:pt>
                <c:pt idx="195">
                  <c:v>77.4</c:v>
                </c:pt>
                <c:pt idx="196">
                  <c:v>77.5</c:v>
                </c:pt>
                <c:pt idx="197">
                  <c:v>77.5</c:v>
                </c:pt>
                <c:pt idx="198">
                  <c:v>77.6</c:v>
                </c:pt>
                <c:pt idx="199">
                  <c:v>77.7</c:v>
                </c:pt>
                <c:pt idx="200">
                  <c:v>77.8</c:v>
                </c:pt>
                <c:pt idx="201">
                  <c:v>77.9</c:v>
                </c:pt>
                <c:pt idx="202">
                  <c:v>78.0</c:v>
                </c:pt>
                <c:pt idx="203">
                  <c:v>78.0</c:v>
                </c:pt>
                <c:pt idx="204">
                  <c:v>78.1</c:v>
                </c:pt>
                <c:pt idx="205">
                  <c:v>78.2</c:v>
                </c:pt>
                <c:pt idx="206">
                  <c:v>78.3</c:v>
                </c:pt>
                <c:pt idx="207">
                  <c:v>78.4</c:v>
                </c:pt>
                <c:pt idx="208">
                  <c:v>78.5</c:v>
                </c:pt>
                <c:pt idx="209">
                  <c:v>78.5</c:v>
                </c:pt>
                <c:pt idx="210">
                  <c:v>78.6</c:v>
                </c:pt>
                <c:pt idx="211">
                  <c:v>78.7</c:v>
                </c:pt>
                <c:pt idx="212">
                  <c:v>78.8</c:v>
                </c:pt>
                <c:pt idx="213">
                  <c:v>78.9</c:v>
                </c:pt>
                <c:pt idx="214">
                  <c:v>79.0</c:v>
                </c:pt>
                <c:pt idx="215">
                  <c:v>79.0</c:v>
                </c:pt>
                <c:pt idx="216">
                  <c:v>79.1</c:v>
                </c:pt>
                <c:pt idx="217">
                  <c:v>79.2</c:v>
                </c:pt>
                <c:pt idx="218">
                  <c:v>79.3</c:v>
                </c:pt>
                <c:pt idx="219">
                  <c:v>79.4</c:v>
                </c:pt>
                <c:pt idx="220">
                  <c:v>79.5</c:v>
                </c:pt>
                <c:pt idx="221">
                  <c:v>79.5</c:v>
                </c:pt>
                <c:pt idx="222">
                  <c:v>79.6</c:v>
                </c:pt>
                <c:pt idx="223">
                  <c:v>79.7</c:v>
                </c:pt>
                <c:pt idx="224">
                  <c:v>79.8</c:v>
                </c:pt>
                <c:pt idx="225">
                  <c:v>79.9</c:v>
                </c:pt>
                <c:pt idx="226">
                  <c:v>80.0</c:v>
                </c:pt>
                <c:pt idx="227">
                  <c:v>80.0</c:v>
                </c:pt>
                <c:pt idx="228">
                  <c:v>80.1</c:v>
                </c:pt>
                <c:pt idx="229">
                  <c:v>80.2</c:v>
                </c:pt>
                <c:pt idx="230">
                  <c:v>80.3</c:v>
                </c:pt>
                <c:pt idx="231">
                  <c:v>80.4</c:v>
                </c:pt>
                <c:pt idx="232">
                  <c:v>80.5</c:v>
                </c:pt>
                <c:pt idx="233">
                  <c:v>80.5</c:v>
                </c:pt>
                <c:pt idx="234">
                  <c:v>80.6</c:v>
                </c:pt>
                <c:pt idx="235">
                  <c:v>80.7</c:v>
                </c:pt>
                <c:pt idx="236">
                  <c:v>80.8</c:v>
                </c:pt>
                <c:pt idx="237">
                  <c:v>80.9</c:v>
                </c:pt>
                <c:pt idx="238">
                  <c:v>81.0</c:v>
                </c:pt>
                <c:pt idx="239">
                  <c:v>81.0</c:v>
                </c:pt>
                <c:pt idx="240">
                  <c:v>81.1</c:v>
                </c:pt>
                <c:pt idx="241">
                  <c:v>81.2</c:v>
                </c:pt>
                <c:pt idx="242">
                  <c:v>81.3</c:v>
                </c:pt>
                <c:pt idx="243">
                  <c:v>81.4</c:v>
                </c:pt>
                <c:pt idx="244">
                  <c:v>81.5</c:v>
                </c:pt>
                <c:pt idx="245">
                  <c:v>81.5</c:v>
                </c:pt>
                <c:pt idx="246">
                  <c:v>81.6</c:v>
                </c:pt>
                <c:pt idx="247">
                  <c:v>81.7</c:v>
                </c:pt>
                <c:pt idx="248">
                  <c:v>81.8</c:v>
                </c:pt>
                <c:pt idx="249">
                  <c:v>81.9</c:v>
                </c:pt>
                <c:pt idx="250">
                  <c:v>82.0</c:v>
                </c:pt>
                <c:pt idx="251">
                  <c:v>82.0</c:v>
                </c:pt>
                <c:pt idx="252">
                  <c:v>82.1</c:v>
                </c:pt>
                <c:pt idx="253">
                  <c:v>82.2</c:v>
                </c:pt>
                <c:pt idx="254">
                  <c:v>82.3</c:v>
                </c:pt>
                <c:pt idx="255">
                  <c:v>82.4</c:v>
                </c:pt>
                <c:pt idx="256">
                  <c:v>82.5</c:v>
                </c:pt>
                <c:pt idx="257">
                  <c:v>82.5</c:v>
                </c:pt>
                <c:pt idx="258">
                  <c:v>82.6</c:v>
                </c:pt>
                <c:pt idx="259">
                  <c:v>82.7</c:v>
                </c:pt>
                <c:pt idx="260">
                  <c:v>82.8</c:v>
                </c:pt>
                <c:pt idx="261">
                  <c:v>82.9</c:v>
                </c:pt>
                <c:pt idx="262">
                  <c:v>83.0</c:v>
                </c:pt>
                <c:pt idx="263">
                  <c:v>83.0</c:v>
                </c:pt>
                <c:pt idx="264">
                  <c:v>83.1</c:v>
                </c:pt>
                <c:pt idx="265">
                  <c:v>83.2</c:v>
                </c:pt>
                <c:pt idx="266">
                  <c:v>83.3</c:v>
                </c:pt>
                <c:pt idx="267">
                  <c:v>83.4</c:v>
                </c:pt>
                <c:pt idx="268">
                  <c:v>83.5</c:v>
                </c:pt>
                <c:pt idx="269">
                  <c:v>83.5</c:v>
                </c:pt>
                <c:pt idx="270">
                  <c:v>83.6</c:v>
                </c:pt>
                <c:pt idx="271">
                  <c:v>83.7</c:v>
                </c:pt>
                <c:pt idx="272">
                  <c:v>83.8</c:v>
                </c:pt>
                <c:pt idx="273">
                  <c:v>83.9</c:v>
                </c:pt>
                <c:pt idx="274">
                  <c:v>84.0</c:v>
                </c:pt>
                <c:pt idx="275">
                  <c:v>84.0</c:v>
                </c:pt>
                <c:pt idx="276">
                  <c:v>84.1</c:v>
                </c:pt>
                <c:pt idx="277">
                  <c:v>84.2</c:v>
                </c:pt>
                <c:pt idx="278">
                  <c:v>84.3</c:v>
                </c:pt>
                <c:pt idx="279">
                  <c:v>84.4</c:v>
                </c:pt>
                <c:pt idx="280">
                  <c:v>84.5</c:v>
                </c:pt>
                <c:pt idx="281">
                  <c:v>84.5</c:v>
                </c:pt>
                <c:pt idx="282">
                  <c:v>84.6</c:v>
                </c:pt>
                <c:pt idx="283">
                  <c:v>84.7</c:v>
                </c:pt>
                <c:pt idx="284">
                  <c:v>84.8</c:v>
                </c:pt>
                <c:pt idx="285">
                  <c:v>84.9</c:v>
                </c:pt>
                <c:pt idx="286">
                  <c:v>85.0</c:v>
                </c:pt>
                <c:pt idx="287">
                  <c:v>85.0</c:v>
                </c:pt>
                <c:pt idx="288">
                  <c:v>85.1</c:v>
                </c:pt>
                <c:pt idx="289">
                  <c:v>85.2</c:v>
                </c:pt>
                <c:pt idx="290">
                  <c:v>85.3</c:v>
                </c:pt>
                <c:pt idx="291">
                  <c:v>85.4</c:v>
                </c:pt>
                <c:pt idx="292">
                  <c:v>85.5</c:v>
                </c:pt>
                <c:pt idx="293">
                  <c:v>85.5</c:v>
                </c:pt>
                <c:pt idx="294">
                  <c:v>85.6</c:v>
                </c:pt>
                <c:pt idx="295">
                  <c:v>85.7</c:v>
                </c:pt>
                <c:pt idx="296">
                  <c:v>85.8</c:v>
                </c:pt>
                <c:pt idx="297">
                  <c:v>85.9</c:v>
                </c:pt>
                <c:pt idx="298">
                  <c:v>86.0</c:v>
                </c:pt>
                <c:pt idx="299">
                  <c:v>86.0</c:v>
                </c:pt>
                <c:pt idx="300">
                  <c:v>86.1</c:v>
                </c:pt>
                <c:pt idx="301">
                  <c:v>86.2</c:v>
                </c:pt>
                <c:pt idx="302">
                  <c:v>86.3</c:v>
                </c:pt>
                <c:pt idx="303">
                  <c:v>86.4</c:v>
                </c:pt>
                <c:pt idx="304">
                  <c:v>86.5</c:v>
                </c:pt>
                <c:pt idx="305">
                  <c:v>86.5</c:v>
                </c:pt>
                <c:pt idx="306">
                  <c:v>86.6</c:v>
                </c:pt>
                <c:pt idx="307">
                  <c:v>86.7</c:v>
                </c:pt>
                <c:pt idx="308">
                  <c:v>86.8</c:v>
                </c:pt>
                <c:pt idx="309">
                  <c:v>86.9</c:v>
                </c:pt>
                <c:pt idx="310">
                  <c:v>87.0</c:v>
                </c:pt>
                <c:pt idx="311">
                  <c:v>87.0</c:v>
                </c:pt>
                <c:pt idx="312">
                  <c:v>87.1</c:v>
                </c:pt>
                <c:pt idx="313">
                  <c:v>87.2</c:v>
                </c:pt>
                <c:pt idx="314">
                  <c:v>87.3</c:v>
                </c:pt>
                <c:pt idx="315">
                  <c:v>87.4</c:v>
                </c:pt>
                <c:pt idx="316">
                  <c:v>87.5</c:v>
                </c:pt>
                <c:pt idx="317">
                  <c:v>87.5</c:v>
                </c:pt>
                <c:pt idx="318">
                  <c:v>87.6</c:v>
                </c:pt>
                <c:pt idx="319">
                  <c:v>87.7</c:v>
                </c:pt>
                <c:pt idx="320">
                  <c:v>87.8</c:v>
                </c:pt>
                <c:pt idx="321">
                  <c:v>87.9</c:v>
                </c:pt>
                <c:pt idx="322">
                  <c:v>88.0</c:v>
                </c:pt>
                <c:pt idx="323">
                  <c:v>88.0</c:v>
                </c:pt>
                <c:pt idx="324">
                  <c:v>88.1</c:v>
                </c:pt>
                <c:pt idx="325">
                  <c:v>88.2</c:v>
                </c:pt>
                <c:pt idx="326">
                  <c:v>88.3</c:v>
                </c:pt>
                <c:pt idx="327">
                  <c:v>88.4</c:v>
                </c:pt>
                <c:pt idx="328">
                  <c:v>88.5</c:v>
                </c:pt>
                <c:pt idx="329">
                  <c:v>88.5</c:v>
                </c:pt>
                <c:pt idx="330">
                  <c:v>88.6</c:v>
                </c:pt>
                <c:pt idx="331">
                  <c:v>88.7</c:v>
                </c:pt>
                <c:pt idx="332">
                  <c:v>88.8</c:v>
                </c:pt>
                <c:pt idx="333">
                  <c:v>88.9</c:v>
                </c:pt>
                <c:pt idx="334">
                  <c:v>89.0</c:v>
                </c:pt>
                <c:pt idx="335">
                  <c:v>89.0</c:v>
                </c:pt>
                <c:pt idx="336">
                  <c:v>89.1</c:v>
                </c:pt>
                <c:pt idx="337">
                  <c:v>89.2</c:v>
                </c:pt>
                <c:pt idx="338">
                  <c:v>89.3</c:v>
                </c:pt>
                <c:pt idx="339">
                  <c:v>89.4</c:v>
                </c:pt>
                <c:pt idx="340">
                  <c:v>89.5</c:v>
                </c:pt>
                <c:pt idx="341">
                  <c:v>89.5</c:v>
                </c:pt>
                <c:pt idx="342">
                  <c:v>89.6</c:v>
                </c:pt>
                <c:pt idx="343">
                  <c:v>89.7</c:v>
                </c:pt>
                <c:pt idx="344">
                  <c:v>89.8</c:v>
                </c:pt>
                <c:pt idx="345">
                  <c:v>89.9</c:v>
                </c:pt>
                <c:pt idx="346">
                  <c:v>90.0</c:v>
                </c:pt>
                <c:pt idx="347">
                  <c:v>90.0</c:v>
                </c:pt>
                <c:pt idx="348">
                  <c:v>90.1</c:v>
                </c:pt>
                <c:pt idx="349">
                  <c:v>90.2</c:v>
                </c:pt>
                <c:pt idx="350">
                  <c:v>90.3</c:v>
                </c:pt>
                <c:pt idx="351">
                  <c:v>90.4</c:v>
                </c:pt>
                <c:pt idx="352">
                  <c:v>90.5</c:v>
                </c:pt>
                <c:pt idx="353">
                  <c:v>90.5</c:v>
                </c:pt>
                <c:pt idx="354">
                  <c:v>90.6</c:v>
                </c:pt>
                <c:pt idx="355">
                  <c:v>90.7</c:v>
                </c:pt>
                <c:pt idx="356">
                  <c:v>90.8</c:v>
                </c:pt>
                <c:pt idx="357">
                  <c:v>90.9</c:v>
                </c:pt>
                <c:pt idx="358">
                  <c:v>91.0</c:v>
                </c:pt>
                <c:pt idx="359">
                  <c:v>91.0</c:v>
                </c:pt>
                <c:pt idx="360">
                  <c:v>91.1</c:v>
                </c:pt>
                <c:pt idx="361">
                  <c:v>91.2</c:v>
                </c:pt>
                <c:pt idx="362">
                  <c:v>91.3</c:v>
                </c:pt>
                <c:pt idx="363">
                  <c:v>91.4</c:v>
                </c:pt>
                <c:pt idx="364">
                  <c:v>91.5</c:v>
                </c:pt>
                <c:pt idx="365">
                  <c:v>91.5</c:v>
                </c:pt>
                <c:pt idx="366">
                  <c:v>91.6</c:v>
                </c:pt>
                <c:pt idx="367">
                  <c:v>91.7</c:v>
                </c:pt>
                <c:pt idx="368">
                  <c:v>91.8</c:v>
                </c:pt>
                <c:pt idx="369">
                  <c:v>91.9</c:v>
                </c:pt>
                <c:pt idx="370">
                  <c:v>92.0</c:v>
                </c:pt>
                <c:pt idx="371">
                  <c:v>92.0</c:v>
                </c:pt>
                <c:pt idx="372">
                  <c:v>92.1</c:v>
                </c:pt>
                <c:pt idx="373">
                  <c:v>92.2</c:v>
                </c:pt>
                <c:pt idx="374">
                  <c:v>92.3</c:v>
                </c:pt>
                <c:pt idx="375">
                  <c:v>92.4</c:v>
                </c:pt>
                <c:pt idx="376">
                  <c:v>92.5</c:v>
                </c:pt>
                <c:pt idx="377">
                  <c:v>92.5</c:v>
                </c:pt>
                <c:pt idx="378">
                  <c:v>92.6</c:v>
                </c:pt>
                <c:pt idx="379">
                  <c:v>92.7</c:v>
                </c:pt>
                <c:pt idx="380">
                  <c:v>92.8</c:v>
                </c:pt>
                <c:pt idx="381">
                  <c:v>92.9</c:v>
                </c:pt>
                <c:pt idx="382">
                  <c:v>93.0</c:v>
                </c:pt>
                <c:pt idx="383">
                  <c:v>93.0</c:v>
                </c:pt>
                <c:pt idx="384">
                  <c:v>93.1</c:v>
                </c:pt>
                <c:pt idx="385">
                  <c:v>93.2</c:v>
                </c:pt>
                <c:pt idx="386">
                  <c:v>93.3</c:v>
                </c:pt>
                <c:pt idx="387">
                  <c:v>93.4</c:v>
                </c:pt>
                <c:pt idx="388">
                  <c:v>93.5</c:v>
                </c:pt>
                <c:pt idx="389">
                  <c:v>93.5</c:v>
                </c:pt>
                <c:pt idx="390">
                  <c:v>93.6</c:v>
                </c:pt>
                <c:pt idx="391">
                  <c:v>93.7</c:v>
                </c:pt>
                <c:pt idx="392">
                  <c:v>93.8</c:v>
                </c:pt>
                <c:pt idx="393">
                  <c:v>93.9</c:v>
                </c:pt>
                <c:pt idx="394">
                  <c:v>94.0</c:v>
                </c:pt>
                <c:pt idx="395">
                  <c:v>94.0</c:v>
                </c:pt>
                <c:pt idx="396">
                  <c:v>94.1</c:v>
                </c:pt>
                <c:pt idx="397">
                  <c:v>94.2</c:v>
                </c:pt>
                <c:pt idx="398">
                  <c:v>94.3</c:v>
                </c:pt>
                <c:pt idx="399">
                  <c:v>94.4</c:v>
                </c:pt>
                <c:pt idx="400">
                  <c:v>94.5</c:v>
                </c:pt>
                <c:pt idx="401">
                  <c:v>94.5</c:v>
                </c:pt>
                <c:pt idx="402">
                  <c:v>94.6</c:v>
                </c:pt>
                <c:pt idx="403">
                  <c:v>94.7</c:v>
                </c:pt>
                <c:pt idx="404">
                  <c:v>94.8</c:v>
                </c:pt>
                <c:pt idx="405">
                  <c:v>94.9</c:v>
                </c:pt>
                <c:pt idx="406">
                  <c:v>95.0</c:v>
                </c:pt>
                <c:pt idx="407">
                  <c:v>95.0</c:v>
                </c:pt>
                <c:pt idx="408">
                  <c:v>95.1</c:v>
                </c:pt>
                <c:pt idx="409">
                  <c:v>95.2</c:v>
                </c:pt>
                <c:pt idx="410">
                  <c:v>95.3</c:v>
                </c:pt>
                <c:pt idx="411">
                  <c:v>95.4</c:v>
                </c:pt>
                <c:pt idx="412">
                  <c:v>95.5</c:v>
                </c:pt>
                <c:pt idx="413">
                  <c:v>95.5</c:v>
                </c:pt>
                <c:pt idx="414">
                  <c:v>95.6</c:v>
                </c:pt>
                <c:pt idx="415">
                  <c:v>95.7</c:v>
                </c:pt>
                <c:pt idx="416">
                  <c:v>95.8</c:v>
                </c:pt>
                <c:pt idx="417">
                  <c:v>95.9</c:v>
                </c:pt>
                <c:pt idx="418">
                  <c:v>96.0</c:v>
                </c:pt>
                <c:pt idx="419">
                  <c:v>96.0</c:v>
                </c:pt>
                <c:pt idx="420">
                  <c:v>96.1</c:v>
                </c:pt>
                <c:pt idx="421">
                  <c:v>96.2</c:v>
                </c:pt>
                <c:pt idx="422">
                  <c:v>96.3</c:v>
                </c:pt>
                <c:pt idx="423">
                  <c:v>96.4</c:v>
                </c:pt>
                <c:pt idx="424">
                  <c:v>96.5</c:v>
                </c:pt>
                <c:pt idx="425">
                  <c:v>96.5</c:v>
                </c:pt>
                <c:pt idx="426">
                  <c:v>96.6</c:v>
                </c:pt>
                <c:pt idx="427">
                  <c:v>96.7</c:v>
                </c:pt>
                <c:pt idx="428">
                  <c:v>96.8</c:v>
                </c:pt>
                <c:pt idx="429">
                  <c:v>96.9</c:v>
                </c:pt>
                <c:pt idx="430">
                  <c:v>97.0</c:v>
                </c:pt>
                <c:pt idx="431">
                  <c:v>97.0</c:v>
                </c:pt>
                <c:pt idx="432">
                  <c:v>97.1</c:v>
                </c:pt>
                <c:pt idx="433">
                  <c:v>97.2</c:v>
                </c:pt>
                <c:pt idx="434">
                  <c:v>97.3</c:v>
                </c:pt>
                <c:pt idx="435">
                  <c:v/>
                </c:pt>
                <c:pt idx="436">
                  <c:v/>
                </c:pt>
                <c:pt idx="437">
                  <c:v/>
                </c:pt>
                <c:pt idx="438">
                  <c:v/>
                </c:pt>
                <c:pt idx="439">
                  <c:v/>
                </c:pt>
                <c:pt idx="440">
                  <c:v/>
                </c:pt>
                <c:pt idx="441">
                  <c:v/>
                </c:pt>
                <c:pt idx="442">
                  <c:v/>
                </c:pt>
                <c:pt idx="443">
                  <c:v/>
                </c:pt>
                <c:pt idx="444">
                  <c:v/>
                </c:pt>
                <c:pt idx="445">
                  <c:v/>
                </c:pt>
                <c:pt idx="446">
                  <c:v/>
                </c:pt>
                <c:pt idx="447">
                  <c:v/>
                </c:pt>
                <c:pt idx="448">
                  <c:v/>
                </c:pt>
                <c:pt idx="449">
                  <c:v/>
                </c:pt>
                <c:pt idx="450">
                  <c:v/>
                </c:pt>
                <c:pt idx="451">
                  <c:v/>
                </c:pt>
                <c:pt idx="452">
                  <c:v/>
                </c:pt>
                <c:pt idx="453">
                  <c:v/>
                </c:pt>
                <c:pt idx="454">
                  <c:v/>
                </c:pt>
                <c:pt idx="455">
                  <c:v/>
                </c:pt>
                <c:pt idx="456">
                  <c:v/>
                </c:pt>
                <c:pt idx="457">
                  <c:v/>
                </c:pt>
                <c:pt idx="458">
                  <c:v/>
                </c:pt>
                <c:pt idx="459">
                  <c:v/>
                </c:pt>
                <c:pt idx="460">
                  <c:v/>
                </c:pt>
                <c:pt idx="461">
                  <c:v/>
                </c:pt>
                <c:pt idx="462">
                  <c:v/>
                </c:pt>
                <c:pt idx="463">
                  <c:v/>
                </c:pt>
                <c:pt idx="464">
                  <c:v/>
                </c:pt>
                <c:pt idx="465">
                  <c:v/>
                </c:pt>
                <c:pt idx="466">
                  <c:v/>
                </c:pt>
                <c:pt idx="467">
                  <c:v/>
                </c:pt>
                <c:pt idx="468">
                  <c:v/>
                </c:pt>
                <c:pt idx="469">
                  <c:v/>
                </c:pt>
                <c:pt idx="470">
                  <c:v/>
                </c:pt>
                <c:pt idx="471">
                  <c:v/>
                </c:pt>
                <c:pt idx="472">
                  <c:v/>
                </c:pt>
                <c:pt idx="473">
                  <c:v/>
                </c:pt>
                <c:pt idx="474">
                  <c:v/>
                </c:pt>
                <c:pt idx="475">
                  <c:v/>
                </c:pt>
                <c:pt idx="476">
                  <c:v/>
                </c:pt>
                <c:pt idx="477">
                  <c:v/>
                </c:pt>
                <c:pt idx="478">
                  <c:v/>
                </c:pt>
                <c:pt idx="479">
                  <c:v/>
                </c:pt>
                <c:pt idx="480">
                  <c:v/>
                </c:pt>
                <c:pt idx="481">
                  <c:v/>
                </c:pt>
                <c:pt idx="482">
                  <c:v/>
                </c:pt>
                <c:pt idx="483">
                  <c:v/>
                </c:pt>
                <c:pt idx="484">
                  <c:v/>
                </c:pt>
                <c:pt idx="485">
                  <c:v/>
                </c:pt>
                <c:pt idx="486">
                  <c:v/>
                </c:pt>
                <c:pt idx="487">
                  <c:v/>
                </c:pt>
                <c:pt idx="488">
                  <c:v/>
                </c:pt>
                <c:pt idx="489">
                  <c:v/>
                </c:pt>
                <c:pt idx="490">
                  <c:v/>
                </c:pt>
                <c:pt idx="491">
                  <c:v/>
                </c:pt>
                <c:pt idx="492">
                  <c:v/>
                </c:pt>
                <c:pt idx="493">
                  <c:v/>
                </c:pt>
                <c:pt idx="494">
                  <c:v/>
                </c:pt>
                <c:pt idx="495">
                  <c:v/>
                </c:pt>
                <c:pt idx="496">
                  <c:v/>
                </c:pt>
                <c:pt idx="497">
                  <c:v/>
                </c:pt>
                <c:pt idx="498">
                  <c:v/>
                </c:pt>
                <c:pt idx="499">
                  <c:v/>
                </c:pt>
                <c:pt idx="500">
                  <c:v/>
                </c:pt>
                <c:pt idx="501">
                  <c:v/>
                </c:pt>
                <c:pt idx="502">
                  <c:v/>
                </c:pt>
                <c:pt idx="503">
                  <c:v/>
                </c:pt>
                <c:pt idx="504">
                  <c:v/>
                </c:pt>
                <c:pt idx="505">
                  <c:v/>
                </c:pt>
                <c:pt idx="506">
                  <c:v/>
                </c:pt>
                <c:pt idx="507">
                  <c:v/>
                </c:pt>
                <c:pt idx="508">
                  <c:v/>
                </c:pt>
                <c:pt idx="509">
                  <c:v/>
                </c:pt>
                <c:pt idx="510">
                  <c:v/>
                </c:pt>
                <c:pt idx="511">
                  <c:v/>
                </c:pt>
                <c:pt idx="512">
                  <c:v/>
                </c:pt>
                <c:pt idx="513">
                  <c:v/>
                </c:pt>
                <c:pt idx="514">
                  <c:v/>
                </c:pt>
                <c:pt idx="515">
                  <c:v/>
                </c:pt>
                <c:pt idx="516">
                  <c:v/>
                </c:pt>
                <c:pt idx="517">
                  <c:v/>
                </c:pt>
                <c:pt idx="518">
                  <c:v/>
                </c:pt>
                <c:pt idx="519">
                  <c:v/>
                </c:pt>
                <c:pt idx="520">
                  <c:v/>
                </c:pt>
                <c:pt idx="521">
                  <c:v/>
                </c:pt>
                <c:pt idx="522">
                  <c:v/>
                </c:pt>
                <c:pt idx="523">
                  <c:v/>
                </c:pt>
                <c:pt idx="524">
                  <c:v/>
                </c:pt>
                <c:pt idx="525">
                  <c:v/>
                </c:pt>
                <c:pt idx="526">
                  <c:v/>
                </c:pt>
                <c:pt idx="527">
                  <c:v/>
                </c:pt>
                <c:pt idx="528">
                  <c:v/>
                </c:pt>
                <c:pt idx="529">
                  <c:v/>
                </c:pt>
                <c:pt idx="530">
                  <c:v/>
                </c:pt>
                <c:pt idx="531">
                  <c:v/>
                </c:pt>
                <c:pt idx="532">
                  <c:v/>
                </c:pt>
                <c:pt idx="533">
                  <c:v/>
                </c:pt>
                <c:pt idx="534">
                  <c:v/>
                </c:pt>
                <c:pt idx="535">
                  <c:v/>
                </c:pt>
                <c:pt idx="536">
                  <c:v/>
                </c:pt>
                <c:pt idx="537">
                  <c:v/>
                </c:pt>
                <c:pt idx="538">
                  <c:v/>
                </c:pt>
                <c:pt idx="539">
                  <c:v/>
                </c:pt>
                <c:pt idx="540">
                  <c:v/>
                </c:pt>
                <c:pt idx="541">
                  <c:v/>
                </c:pt>
                <c:pt idx="542">
                  <c:v/>
                </c:pt>
                <c:pt idx="543">
                  <c:v/>
                </c:pt>
                <c:pt idx="544">
                  <c:v/>
                </c:pt>
                <c:pt idx="545">
                  <c:v/>
                </c:pt>
                <c:pt idx="546">
                  <c:v/>
                </c:pt>
                <c:pt idx="547">
                  <c:v/>
                </c:pt>
                <c:pt idx="548">
                  <c:v/>
                </c:pt>
                <c:pt idx="549">
                  <c:v/>
                </c:pt>
                <c:pt idx="550">
                  <c:v/>
                </c:pt>
                <c:pt idx="551">
                  <c:v/>
                </c:pt>
                <c:pt idx="552">
                  <c:v/>
                </c:pt>
                <c:pt idx="553">
                  <c:v/>
                </c:pt>
                <c:pt idx="554">
                  <c:v/>
                </c:pt>
                <c:pt idx="555">
                  <c:v/>
                </c:pt>
                <c:pt idx="556">
                  <c:v/>
                </c:pt>
                <c:pt idx="557">
                  <c:v/>
                </c:pt>
                <c:pt idx="558">
                  <c:v/>
                </c:pt>
                <c:pt idx="559">
                  <c:v/>
                </c:pt>
                <c:pt idx="560">
                  <c:v/>
                </c:pt>
                <c:pt idx="561">
                  <c:v/>
                </c:pt>
                <c:pt idx="562">
                  <c:v/>
                </c:pt>
                <c:pt idx="563">
                  <c:v/>
                </c:pt>
                <c:pt idx="564">
                  <c:v/>
                </c:pt>
                <c:pt idx="565">
                  <c:v/>
                </c:pt>
                <c:pt idx="566">
                  <c:v/>
                </c:pt>
                <c:pt idx="567">
                  <c:v/>
                </c:pt>
                <c:pt idx="568">
                  <c:v/>
                </c:pt>
                <c:pt idx="569">
                  <c:v/>
                </c:pt>
                <c:pt idx="570">
                  <c:v/>
                </c:pt>
                <c:pt idx="571">
                  <c:v/>
                </c:pt>
                <c:pt idx="572">
                  <c:v/>
                </c:pt>
                <c:pt idx="573">
                  <c:v/>
                </c:pt>
                <c:pt idx="574">
                  <c:v/>
                </c:pt>
                <c:pt idx="575">
                  <c:v/>
                </c:pt>
                <c:pt idx="576">
                  <c:v/>
                </c:pt>
                <c:pt idx="577">
                  <c:v/>
                </c:pt>
                <c:pt idx="578">
                  <c:v/>
                </c:pt>
                <c:pt idx="579">
                  <c:v/>
                </c:pt>
                <c:pt idx="580">
                  <c:v/>
                </c:pt>
                <c:pt idx="581">
                  <c:v/>
                </c:pt>
                <c:pt idx="582">
                  <c:v/>
                </c:pt>
                <c:pt idx="583">
                  <c:v/>
                </c:pt>
                <c:pt idx="584">
                  <c:v/>
                </c:pt>
                <c:pt idx="585">
                  <c:v/>
                </c:pt>
                <c:pt idx="586">
                  <c:v/>
                </c:pt>
                <c:pt idx="587">
                  <c:v/>
                </c:pt>
                <c:pt idx="588">
                  <c:v/>
                </c:pt>
                <c:pt idx="589">
                  <c:v/>
                </c:pt>
                <c:pt idx="590">
                  <c:v/>
                </c:pt>
                <c:pt idx="591">
                  <c:v/>
                </c:pt>
                <c:pt idx="592">
                  <c:v/>
                </c:pt>
                <c:pt idx="593">
                  <c:v/>
                </c:pt>
                <c:pt idx="594">
                  <c:v/>
                </c:pt>
                <c:pt idx="595">
                  <c:v/>
                </c:pt>
                <c:pt idx="596">
                  <c:v/>
                </c:pt>
                <c:pt idx="597">
                  <c:v/>
                </c:pt>
                <c:pt idx="598">
                  <c:v/>
                </c:pt>
                <c:pt idx="599">
                  <c:v/>
                </c:pt>
                <c:pt idx="600">
                  <c:v/>
                </c:pt>
                <c:pt idx="601">
                  <c:v/>
                </c:pt>
                <c:pt idx="602">
                  <c:v/>
                </c:pt>
                <c:pt idx="603">
                  <c:v/>
                </c:pt>
                <c:pt idx="604">
                  <c:v/>
                </c:pt>
                <c:pt idx="605">
                  <c:v/>
                </c:pt>
                <c:pt idx="606">
                  <c:v/>
                </c:pt>
                <c:pt idx="607">
                  <c:v/>
                </c:pt>
                <c:pt idx="608">
                  <c:v/>
                </c:pt>
                <c:pt idx="609">
                  <c:v/>
                </c:pt>
                <c:pt idx="610">
                  <c:v/>
                </c:pt>
                <c:pt idx="611">
                  <c:v/>
                </c:pt>
                <c:pt idx="612">
                  <c:v/>
                </c:pt>
                <c:pt idx="613">
                  <c:v/>
                </c:pt>
                <c:pt idx="614">
                  <c:v/>
                </c:pt>
                <c:pt idx="615">
                  <c:v/>
                </c:pt>
                <c:pt idx="616">
                  <c:v/>
                </c:pt>
                <c:pt idx="617">
                  <c:v/>
                </c:pt>
                <c:pt idx="618">
                  <c:v/>
                </c:pt>
                <c:pt idx="619">
                  <c:v/>
                </c:pt>
                <c:pt idx="620">
                  <c:v/>
                </c:pt>
                <c:pt idx="621">
                  <c:v/>
                </c:pt>
                <c:pt idx="622">
                  <c:v/>
                </c:pt>
                <c:pt idx="623">
                  <c:v/>
                </c:pt>
                <c:pt idx="624">
                  <c:v/>
                </c:pt>
                <c:pt idx="625">
                  <c:v/>
                </c:pt>
                <c:pt idx="626">
                  <c:v/>
                </c:pt>
                <c:pt idx="627">
                  <c:v/>
                </c:pt>
                <c:pt idx="628">
                  <c:v/>
                </c:pt>
                <c:pt idx="629">
                  <c:v/>
                </c:pt>
                <c:pt idx="630">
                  <c:v/>
                </c:pt>
                <c:pt idx="631">
                  <c:v/>
                </c:pt>
                <c:pt idx="632">
                  <c:v/>
                </c:pt>
                <c:pt idx="633">
                  <c:v/>
                </c:pt>
                <c:pt idx="634">
                  <c:v/>
                </c:pt>
                <c:pt idx="635">
                  <c:v/>
                </c:pt>
                <c:pt idx="636">
                  <c:v/>
                </c:pt>
                <c:pt idx="637">
                  <c:v/>
                </c:pt>
                <c:pt idx="638">
                  <c:v/>
                </c:pt>
                <c:pt idx="639">
                  <c:v/>
                </c:pt>
                <c:pt idx="640">
                  <c:v/>
                </c:pt>
                <c:pt idx="641">
                  <c:v/>
                </c:pt>
                <c:pt idx="642">
                  <c:v/>
                </c:pt>
                <c:pt idx="643">
                  <c:v/>
                </c:pt>
                <c:pt idx="644">
                  <c:v/>
                </c:pt>
                <c:pt idx="645">
                  <c:v/>
                </c:pt>
                <c:pt idx="646">
                  <c:v/>
                </c:pt>
                <c:pt idx="647">
                  <c:v/>
                </c:pt>
                <c:pt idx="648">
                  <c:v/>
                </c:pt>
                <c:pt idx="649">
                  <c:v/>
                </c:pt>
                <c:pt idx="650">
                  <c:v/>
                </c:pt>
                <c:pt idx="651">
                  <c:v/>
                </c:pt>
                <c:pt idx="652">
                  <c:v/>
                </c:pt>
                <c:pt idx="653">
                  <c:v/>
                </c:pt>
                <c:pt idx="654">
                  <c:v/>
                </c:pt>
                <c:pt idx="655">
                  <c:v/>
                </c:pt>
                <c:pt idx="656">
                  <c:v/>
                </c:pt>
                <c:pt idx="657">
                  <c:v/>
                </c:pt>
                <c:pt idx="658">
                  <c:v/>
                </c:pt>
                <c:pt idx="659">
                  <c:v/>
                </c:pt>
                <c:pt idx="660">
                  <c:v/>
                </c:pt>
                <c:pt idx="661">
                  <c:v/>
                </c:pt>
                <c:pt idx="662">
                  <c:v/>
                </c:pt>
                <c:pt idx="663">
                  <c:v/>
                </c:pt>
                <c:pt idx="664">
                  <c:v/>
                </c:pt>
                <c:pt idx="665">
                  <c:v/>
                </c:pt>
                <c:pt idx="666">
                  <c:v/>
                </c:pt>
                <c:pt idx="667">
                  <c:v/>
                </c:pt>
                <c:pt idx="668">
                  <c:v/>
                </c:pt>
                <c:pt idx="669">
                  <c:v/>
                </c:pt>
                <c:pt idx="670">
                  <c:v/>
                </c:pt>
                <c:pt idx="671">
                  <c:v/>
                </c:pt>
                <c:pt idx="672">
                  <c:v/>
                </c:pt>
                <c:pt idx="673">
                  <c:v/>
                </c:pt>
                <c:pt idx="674">
                  <c:v/>
                </c:pt>
                <c:pt idx="675">
                  <c:v/>
                </c:pt>
                <c:pt idx="676">
                  <c:v/>
                </c:pt>
                <c:pt idx="677">
                  <c:v/>
                </c:pt>
                <c:pt idx="678">
                  <c:v/>
                </c:pt>
                <c:pt idx="679">
                  <c:v/>
                </c:pt>
                <c:pt idx="680">
                  <c:v/>
                </c:pt>
                <c:pt idx="681">
                  <c:v/>
                </c:pt>
                <c:pt idx="682">
                  <c:v/>
                </c:pt>
                <c:pt idx="683">
                  <c:v/>
                </c:pt>
                <c:pt idx="684">
                  <c:v/>
                </c:pt>
                <c:pt idx="685">
                  <c:v/>
                </c:pt>
                <c:pt idx="686">
                  <c:v/>
                </c:pt>
                <c:pt idx="687">
                  <c:v/>
                </c:pt>
                <c:pt idx="688">
                  <c:v/>
                </c:pt>
                <c:pt idx="689">
                  <c:v/>
                </c:pt>
                <c:pt idx="690">
                  <c:v/>
                </c:pt>
                <c:pt idx="691">
                  <c:v/>
                </c:pt>
                <c:pt idx="692">
                  <c:v/>
                </c:pt>
                <c:pt idx="693">
                  <c:v/>
                </c:pt>
                <c:pt idx="694">
                  <c:v/>
                </c:pt>
                <c:pt idx="695">
                  <c:v/>
                </c:pt>
                <c:pt idx="696">
                  <c:v/>
                </c:pt>
                <c:pt idx="697">
                  <c:v/>
                </c:pt>
                <c:pt idx="698">
                  <c:v/>
                </c:pt>
                <c:pt idx="699">
                  <c:v/>
                </c:pt>
              </c:strCache>
            </c:strRef>
          </c:cat>
          <c:val>
            <c:numRef>
              <c:f>Worksheet!$G$29:$G$728</c:f>
              <c:numCache>
                <c:formatCode>#,##0.00</c:formatCode>
                <c:ptCount val="700"/>
                <c:pt idx="0">
                  <c:v>5032.03</c:v>
                </c:pt>
                <c:pt idx="1">
                  <c:v>5015.03</c:v>
                </c:pt>
                <c:pt idx="2">
                  <c:v>4998.03</c:v>
                </c:pt>
                <c:pt idx="3">
                  <c:v>5001.43</c:v>
                </c:pt>
                <c:pt idx="4">
                  <c:v>5004.83</c:v>
                </c:pt>
                <c:pt idx="5">
                  <c:v>5008.23</c:v>
                </c:pt>
                <c:pt idx="6">
                  <c:v>5011.63</c:v>
                </c:pt>
                <c:pt idx="7">
                  <c:v>5015.03</c:v>
                </c:pt>
                <c:pt idx="8">
                  <c:v>5018.43</c:v>
                </c:pt>
                <c:pt idx="9">
                  <c:v>5021.83</c:v>
                </c:pt>
                <c:pt idx="10">
                  <c:v>5024.23</c:v>
                </c:pt>
                <c:pt idx="11">
                  <c:v>5026.63</c:v>
                </c:pt>
                <c:pt idx="12">
                  <c:v>5029.03</c:v>
                </c:pt>
                <c:pt idx="13">
                  <c:v>5031.43</c:v>
                </c:pt>
                <c:pt idx="14">
                  <c:v>5033.83</c:v>
                </c:pt>
                <c:pt idx="15">
                  <c:v>5036.35</c:v>
                </c:pt>
                <c:pt idx="16">
                  <c:v>5038.87</c:v>
                </c:pt>
                <c:pt idx="17">
                  <c:v>5041.39</c:v>
                </c:pt>
                <c:pt idx="18">
                  <c:v>5043.91</c:v>
                </c:pt>
                <c:pt idx="19">
                  <c:v>5046.43</c:v>
                </c:pt>
                <c:pt idx="20">
                  <c:v>5048.95</c:v>
                </c:pt>
                <c:pt idx="21">
                  <c:v>5051.47</c:v>
                </c:pt>
                <c:pt idx="22">
                  <c:v>5053.99</c:v>
                </c:pt>
                <c:pt idx="23">
                  <c:v>5056.51</c:v>
                </c:pt>
                <c:pt idx="24">
                  <c:v>5059.03</c:v>
                </c:pt>
                <c:pt idx="25">
                  <c:v>5061.55</c:v>
                </c:pt>
                <c:pt idx="26">
                  <c:v>5064.07</c:v>
                </c:pt>
                <c:pt idx="27">
                  <c:v>5066.72</c:v>
                </c:pt>
                <c:pt idx="28">
                  <c:v>5069.37</c:v>
                </c:pt>
                <c:pt idx="29">
                  <c:v>5072.02</c:v>
                </c:pt>
                <c:pt idx="30">
                  <c:v>5074.67</c:v>
                </c:pt>
                <c:pt idx="31">
                  <c:v>5077.32</c:v>
                </c:pt>
                <c:pt idx="32">
                  <c:v>5079.97</c:v>
                </c:pt>
                <c:pt idx="33">
                  <c:v>5082.62</c:v>
                </c:pt>
                <c:pt idx="34">
                  <c:v>5085.27</c:v>
                </c:pt>
                <c:pt idx="35">
                  <c:v>5087.92</c:v>
                </c:pt>
                <c:pt idx="36">
                  <c:v>5090.57</c:v>
                </c:pt>
                <c:pt idx="37">
                  <c:v>5093.22</c:v>
                </c:pt>
                <c:pt idx="38">
                  <c:v>5095.87</c:v>
                </c:pt>
                <c:pt idx="39">
                  <c:v>5098.65</c:v>
                </c:pt>
                <c:pt idx="40">
                  <c:v>5101.43</c:v>
                </c:pt>
                <c:pt idx="41">
                  <c:v>5104.21</c:v>
                </c:pt>
                <c:pt idx="42">
                  <c:v>5106.99</c:v>
                </c:pt>
                <c:pt idx="43">
                  <c:v>5109.77</c:v>
                </c:pt>
                <c:pt idx="44">
                  <c:v>5111.55</c:v>
                </c:pt>
                <c:pt idx="45">
                  <c:v>5113.33</c:v>
                </c:pt>
                <c:pt idx="46">
                  <c:v>5115.11</c:v>
                </c:pt>
                <c:pt idx="47">
                  <c:v>5116.89</c:v>
                </c:pt>
                <c:pt idx="48">
                  <c:v>5118.67</c:v>
                </c:pt>
                <c:pt idx="49">
                  <c:v>5120.45</c:v>
                </c:pt>
                <c:pt idx="50">
                  <c:v>5122.23</c:v>
                </c:pt>
                <c:pt idx="51">
                  <c:v>5123.1</c:v>
                </c:pt>
                <c:pt idx="52">
                  <c:v>5123.97</c:v>
                </c:pt>
                <c:pt idx="53">
                  <c:v>5123.84</c:v>
                </c:pt>
                <c:pt idx="54">
                  <c:v>5123.71</c:v>
                </c:pt>
                <c:pt idx="55">
                  <c:v>5123.58</c:v>
                </c:pt>
                <c:pt idx="56">
                  <c:v>5123.45</c:v>
                </c:pt>
                <c:pt idx="57">
                  <c:v>5123.32</c:v>
                </c:pt>
                <c:pt idx="58">
                  <c:v>5123.19</c:v>
                </c:pt>
                <c:pt idx="59">
                  <c:v>5123.06</c:v>
                </c:pt>
                <c:pt idx="60">
                  <c:v>5122.93</c:v>
                </c:pt>
                <c:pt idx="61">
                  <c:v>5122.8</c:v>
                </c:pt>
                <c:pt idx="62">
                  <c:v>5122.67</c:v>
                </c:pt>
                <c:pt idx="63">
                  <c:v>5122.49</c:v>
                </c:pt>
                <c:pt idx="64">
                  <c:v>5122.31</c:v>
                </c:pt>
                <c:pt idx="65">
                  <c:v>5122.13</c:v>
                </c:pt>
                <c:pt idx="66">
                  <c:v>5121.95</c:v>
                </c:pt>
                <c:pt idx="67">
                  <c:v>5121.77</c:v>
                </c:pt>
                <c:pt idx="68">
                  <c:v>5121.59</c:v>
                </c:pt>
                <c:pt idx="69">
                  <c:v>5121.41</c:v>
                </c:pt>
                <c:pt idx="70">
                  <c:v>5121.23</c:v>
                </c:pt>
                <c:pt idx="71">
                  <c:v>5121.05</c:v>
                </c:pt>
                <c:pt idx="72">
                  <c:v>5120.87</c:v>
                </c:pt>
                <c:pt idx="73">
                  <c:v>5120.69</c:v>
                </c:pt>
                <c:pt idx="74">
                  <c:v>5120.51</c:v>
                </c:pt>
                <c:pt idx="75">
                  <c:v>5120.32</c:v>
                </c:pt>
                <c:pt idx="76">
                  <c:v>5120.13</c:v>
                </c:pt>
                <c:pt idx="77">
                  <c:v>5119.94</c:v>
                </c:pt>
                <c:pt idx="78">
                  <c:v>5119.75</c:v>
                </c:pt>
                <c:pt idx="79">
                  <c:v>5119.56</c:v>
                </c:pt>
                <c:pt idx="80">
                  <c:v>5119.37</c:v>
                </c:pt>
                <c:pt idx="81">
                  <c:v>5119.18</c:v>
                </c:pt>
                <c:pt idx="82">
                  <c:v>5117.99</c:v>
                </c:pt>
                <c:pt idx="83">
                  <c:v>5116.8</c:v>
                </c:pt>
                <c:pt idx="84">
                  <c:v>5115.61</c:v>
                </c:pt>
                <c:pt idx="85">
                  <c:v>5114.42</c:v>
                </c:pt>
                <c:pt idx="86">
                  <c:v>5113.23</c:v>
                </c:pt>
                <c:pt idx="87">
                  <c:v>5111.99</c:v>
                </c:pt>
                <c:pt idx="88">
                  <c:v>5110.75</c:v>
                </c:pt>
                <c:pt idx="89">
                  <c:v>5109.51</c:v>
                </c:pt>
                <c:pt idx="90">
                  <c:v>5108.27</c:v>
                </c:pt>
                <c:pt idx="91">
                  <c:v>5107.03</c:v>
                </c:pt>
                <c:pt idx="92">
                  <c:v>5105.79</c:v>
                </c:pt>
                <c:pt idx="93">
                  <c:v>5104.55</c:v>
                </c:pt>
                <c:pt idx="94">
                  <c:v>5103.31</c:v>
                </c:pt>
                <c:pt idx="95">
                  <c:v>5102.07</c:v>
                </c:pt>
                <c:pt idx="96">
                  <c:v>5100.83</c:v>
                </c:pt>
                <c:pt idx="97">
                  <c:v>5099.59</c:v>
                </c:pt>
                <c:pt idx="98">
                  <c:v>5098.35</c:v>
                </c:pt>
                <c:pt idx="99">
                  <c:v>5097.04</c:v>
                </c:pt>
                <c:pt idx="100">
                  <c:v>5095.73</c:v>
                </c:pt>
                <c:pt idx="101">
                  <c:v>5094.42</c:v>
                </c:pt>
                <c:pt idx="102">
                  <c:v>5093.11</c:v>
                </c:pt>
                <c:pt idx="103">
                  <c:v>5091.8</c:v>
                </c:pt>
                <c:pt idx="104">
                  <c:v>5090.49</c:v>
                </c:pt>
                <c:pt idx="105">
                  <c:v>5089.18</c:v>
                </c:pt>
                <c:pt idx="106">
                  <c:v>5087.87</c:v>
                </c:pt>
                <c:pt idx="107">
                  <c:v>5086.56</c:v>
                </c:pt>
                <c:pt idx="108">
                  <c:v>5085.25</c:v>
                </c:pt>
                <c:pt idx="109">
                  <c:v>5082.94</c:v>
                </c:pt>
                <c:pt idx="110">
                  <c:v>5080.63</c:v>
                </c:pt>
                <c:pt idx="111">
                  <c:v>5078.22</c:v>
                </c:pt>
                <c:pt idx="112">
                  <c:v>5075.81</c:v>
                </c:pt>
                <c:pt idx="113">
                  <c:v>5073.4</c:v>
                </c:pt>
                <c:pt idx="114">
                  <c:v>5070.99</c:v>
                </c:pt>
                <c:pt idx="115">
                  <c:v>5068.58</c:v>
                </c:pt>
                <c:pt idx="116">
                  <c:v>5066.17</c:v>
                </c:pt>
                <c:pt idx="117">
                  <c:v>5063.76</c:v>
                </c:pt>
                <c:pt idx="118">
                  <c:v>5061.35</c:v>
                </c:pt>
                <c:pt idx="119">
                  <c:v>5058.94</c:v>
                </c:pt>
                <c:pt idx="120">
                  <c:v>5056.53</c:v>
                </c:pt>
                <c:pt idx="121">
                  <c:v>5054.12</c:v>
                </c:pt>
                <c:pt idx="122">
                  <c:v>5051.71</c:v>
                </c:pt>
                <c:pt idx="123">
                  <c:v>5049.18</c:v>
                </c:pt>
                <c:pt idx="124">
                  <c:v>5046.65</c:v>
                </c:pt>
                <c:pt idx="125">
                  <c:v>5044.12</c:v>
                </c:pt>
                <c:pt idx="126">
                  <c:v>5041.59</c:v>
                </c:pt>
                <c:pt idx="127">
                  <c:v>5039.06</c:v>
                </c:pt>
                <c:pt idx="128">
                  <c:v>5036.53</c:v>
                </c:pt>
                <c:pt idx="129">
                  <c:v>5034</c:v>
                </c:pt>
                <c:pt idx="130">
                  <c:v>5031.47</c:v>
                </c:pt>
                <c:pt idx="131">
                  <c:v>5028.94</c:v>
                </c:pt>
                <c:pt idx="132">
                  <c:v>5026.41</c:v>
                </c:pt>
                <c:pt idx="133">
                  <c:v>5023.88</c:v>
                </c:pt>
                <c:pt idx="134">
                  <c:v>5021.35</c:v>
                </c:pt>
                <c:pt idx="135">
                  <c:v>5017.7</c:v>
                </c:pt>
                <c:pt idx="136">
                  <c:v>5014.05</c:v>
                </c:pt>
                <c:pt idx="137">
                  <c:v>5010.4</c:v>
                </c:pt>
                <c:pt idx="138">
                  <c:v>5006.75</c:v>
                </c:pt>
                <c:pt idx="139">
                  <c:v>5003.1</c:v>
                </c:pt>
                <c:pt idx="140">
                  <c:v>4999.45</c:v>
                </c:pt>
                <c:pt idx="141">
                  <c:v>4995.8</c:v>
                </c:pt>
                <c:pt idx="142">
                  <c:v>4992.15</c:v>
                </c:pt>
                <c:pt idx="143">
                  <c:v>4988.5</c:v>
                </c:pt>
                <c:pt idx="144">
                  <c:v>4984.85</c:v>
                </c:pt>
                <c:pt idx="145">
                  <c:v>4981.2</c:v>
                </c:pt>
                <c:pt idx="146">
                  <c:v>4977.55</c:v>
                </c:pt>
                <c:pt idx="147">
                  <c:v>4973.69</c:v>
                </c:pt>
                <c:pt idx="148">
                  <c:v>4969.83</c:v>
                </c:pt>
                <c:pt idx="149">
                  <c:v>4965.97</c:v>
                </c:pt>
                <c:pt idx="150">
                  <c:v>4962.11</c:v>
                </c:pt>
                <c:pt idx="151">
                  <c:v>4958.25</c:v>
                </c:pt>
                <c:pt idx="152">
                  <c:v>4954.39</c:v>
                </c:pt>
                <c:pt idx="153">
                  <c:v>4950.53</c:v>
                </c:pt>
                <c:pt idx="154">
                  <c:v>4946.67</c:v>
                </c:pt>
                <c:pt idx="155">
                  <c:v>4942.81</c:v>
                </c:pt>
                <c:pt idx="156">
                  <c:v>4938.95</c:v>
                </c:pt>
                <c:pt idx="157">
                  <c:v>4935.09</c:v>
                </c:pt>
                <c:pt idx="158">
                  <c:v>4931.23</c:v>
                </c:pt>
                <c:pt idx="159">
                  <c:v>4927.18</c:v>
                </c:pt>
                <c:pt idx="160">
                  <c:v>4922.13</c:v>
                </c:pt>
                <c:pt idx="161">
                  <c:v>4917.08</c:v>
                </c:pt>
                <c:pt idx="162">
                  <c:v>4912.03</c:v>
                </c:pt>
                <c:pt idx="163">
                  <c:v>4906.98</c:v>
                </c:pt>
                <c:pt idx="164">
                  <c:v>4901.93</c:v>
                </c:pt>
                <c:pt idx="165">
                  <c:v>4896.88</c:v>
                </c:pt>
                <c:pt idx="166">
                  <c:v>4891.83</c:v>
                </c:pt>
                <c:pt idx="167">
                  <c:v>4886.78</c:v>
                </c:pt>
                <c:pt idx="168">
                  <c:v>4881.73</c:v>
                </c:pt>
                <c:pt idx="169">
                  <c:v>4876.68</c:v>
                </c:pt>
                <c:pt idx="170">
                  <c:v>4871.63</c:v>
                </c:pt>
                <c:pt idx="171">
                  <c:v>4866.3</c:v>
                </c:pt>
                <c:pt idx="172">
                  <c:v>4860.97</c:v>
                </c:pt>
                <c:pt idx="173">
                  <c:v>4855.64</c:v>
                </c:pt>
                <c:pt idx="174">
                  <c:v>4850.31</c:v>
                </c:pt>
                <c:pt idx="175">
                  <c:v>4844.98</c:v>
                </c:pt>
                <c:pt idx="176">
                  <c:v>4839.65</c:v>
                </c:pt>
                <c:pt idx="177">
                  <c:v>4834.32</c:v>
                </c:pt>
                <c:pt idx="178">
                  <c:v>4828.99</c:v>
                </c:pt>
                <c:pt idx="179">
                  <c:v>4823.66</c:v>
                </c:pt>
                <c:pt idx="180">
                  <c:v>4818.33</c:v>
                </c:pt>
                <c:pt idx="181">
                  <c:v>4813</c:v>
                </c:pt>
                <c:pt idx="182">
                  <c:v>4807.67</c:v>
                </c:pt>
                <c:pt idx="183">
                  <c:v>4802.08</c:v>
                </c:pt>
                <c:pt idx="184">
                  <c:v>4795.49</c:v>
                </c:pt>
                <c:pt idx="185">
                  <c:v>4788.9</c:v>
                </c:pt>
                <c:pt idx="186">
                  <c:v>4782.31</c:v>
                </c:pt>
                <c:pt idx="187">
                  <c:v>4775.72</c:v>
                </c:pt>
                <c:pt idx="188">
                  <c:v>4769.13</c:v>
                </c:pt>
                <c:pt idx="189">
                  <c:v>4762.54</c:v>
                </c:pt>
                <c:pt idx="190">
                  <c:v>4755.95</c:v>
                </c:pt>
                <c:pt idx="191">
                  <c:v>4749.36</c:v>
                </c:pt>
                <c:pt idx="192">
                  <c:v>4742.77</c:v>
                </c:pt>
                <c:pt idx="193">
                  <c:v>4736.18</c:v>
                </c:pt>
                <c:pt idx="194">
                  <c:v>4729.59</c:v>
                </c:pt>
                <c:pt idx="195">
                  <c:v>4722.65</c:v>
                </c:pt>
                <c:pt idx="196">
                  <c:v>4715.71</c:v>
                </c:pt>
                <c:pt idx="197">
                  <c:v>4708.77</c:v>
                </c:pt>
                <c:pt idx="198">
                  <c:v>4701.83</c:v>
                </c:pt>
                <c:pt idx="199">
                  <c:v>4694.89</c:v>
                </c:pt>
                <c:pt idx="200">
                  <c:v>4687.95</c:v>
                </c:pt>
                <c:pt idx="201">
                  <c:v>4681.01</c:v>
                </c:pt>
                <c:pt idx="202">
                  <c:v>4674.07</c:v>
                </c:pt>
                <c:pt idx="203">
                  <c:v>4667.13</c:v>
                </c:pt>
                <c:pt idx="204">
                  <c:v>4660.19</c:v>
                </c:pt>
                <c:pt idx="205">
                  <c:v>4653.25</c:v>
                </c:pt>
                <c:pt idx="206">
                  <c:v>4646.31</c:v>
                </c:pt>
                <c:pt idx="207">
                  <c:v>4638.02</c:v>
                </c:pt>
                <c:pt idx="208">
                  <c:v>4629.73</c:v>
                </c:pt>
                <c:pt idx="209">
                  <c:v>4621.44</c:v>
                </c:pt>
                <c:pt idx="210">
                  <c:v>4613.15</c:v>
                </c:pt>
                <c:pt idx="211">
                  <c:v>4604.86</c:v>
                </c:pt>
                <c:pt idx="212">
                  <c:v>4596.57</c:v>
                </c:pt>
                <c:pt idx="213">
                  <c:v>4588.28</c:v>
                </c:pt>
                <c:pt idx="214">
                  <c:v>4579.99</c:v>
                </c:pt>
                <c:pt idx="215">
                  <c:v>4571.7</c:v>
                </c:pt>
                <c:pt idx="216">
                  <c:v>4563.41</c:v>
                </c:pt>
                <c:pt idx="217">
                  <c:v>4555.12</c:v>
                </c:pt>
                <c:pt idx="218">
                  <c:v>4546.83</c:v>
                </c:pt>
                <c:pt idx="219">
                  <c:v>4538.1</c:v>
                </c:pt>
                <c:pt idx="220">
                  <c:v>4529.37</c:v>
                </c:pt>
                <c:pt idx="221">
                  <c:v>4520.64</c:v>
                </c:pt>
                <c:pt idx="222">
                  <c:v>4511.91</c:v>
                </c:pt>
                <c:pt idx="223">
                  <c:v>4503.18</c:v>
                </c:pt>
                <c:pt idx="224">
                  <c:v>4494.45</c:v>
                </c:pt>
                <c:pt idx="225">
                  <c:v>4485.72</c:v>
                </c:pt>
                <c:pt idx="226">
                  <c:v>4476.99</c:v>
                </c:pt>
                <c:pt idx="227">
                  <c:v>4468.26</c:v>
                </c:pt>
                <c:pt idx="228">
                  <c:v>4459.53</c:v>
                </c:pt>
                <c:pt idx="229">
                  <c:v>4450.8</c:v>
                </c:pt>
                <c:pt idx="230">
                  <c:v>4441.07</c:v>
                </c:pt>
                <c:pt idx="231">
                  <c:v>4430.87</c:v>
                </c:pt>
                <c:pt idx="232">
                  <c:v>4420.67</c:v>
                </c:pt>
                <c:pt idx="233">
                  <c:v>4410.47</c:v>
                </c:pt>
                <c:pt idx="234">
                  <c:v>4400.27</c:v>
                </c:pt>
                <c:pt idx="235">
                  <c:v>4390.07</c:v>
                </c:pt>
                <c:pt idx="236">
                  <c:v>4379.87</c:v>
                </c:pt>
                <c:pt idx="237">
                  <c:v>4369.67</c:v>
                </c:pt>
                <c:pt idx="238">
                  <c:v>4359.47</c:v>
                </c:pt>
                <c:pt idx="239">
                  <c:v>4349.27</c:v>
                </c:pt>
                <c:pt idx="240">
                  <c:v>4339.07</c:v>
                </c:pt>
                <c:pt idx="241">
                  <c:v>4328.87</c:v>
                </c:pt>
                <c:pt idx="242">
                  <c:v>4318.67</c:v>
                </c:pt>
                <c:pt idx="243">
                  <c:v>4307.96</c:v>
                </c:pt>
                <c:pt idx="244">
                  <c:v>4297.25</c:v>
                </c:pt>
                <c:pt idx="245">
                  <c:v>4286.54</c:v>
                </c:pt>
                <c:pt idx="246">
                  <c:v>4275.83</c:v>
                </c:pt>
                <c:pt idx="247">
                  <c:v>4265.12</c:v>
                </c:pt>
                <c:pt idx="248">
                  <c:v>4254.41</c:v>
                </c:pt>
                <c:pt idx="249">
                  <c:v>4243.7</c:v>
                </c:pt>
                <c:pt idx="250">
                  <c:v>4232.99</c:v>
                </c:pt>
                <c:pt idx="251">
                  <c:v>4221.28</c:v>
                </c:pt>
                <c:pt idx="252">
                  <c:v>4209.57</c:v>
                </c:pt>
                <c:pt idx="253">
                  <c:v>4197.86</c:v>
                </c:pt>
                <c:pt idx="254">
                  <c:v>4186.15</c:v>
                </c:pt>
                <c:pt idx="255">
                  <c:v>4173.87</c:v>
                </c:pt>
                <c:pt idx="256">
                  <c:v>4161.59</c:v>
                </c:pt>
                <c:pt idx="257">
                  <c:v>4149.31</c:v>
                </c:pt>
                <c:pt idx="258">
                  <c:v>4137.03</c:v>
                </c:pt>
                <c:pt idx="259">
                  <c:v>4124.75</c:v>
                </c:pt>
                <c:pt idx="260">
                  <c:v>4112.47</c:v>
                </c:pt>
                <c:pt idx="261">
                  <c:v>4100.19</c:v>
                </c:pt>
                <c:pt idx="262">
                  <c:v>4087.91</c:v>
                </c:pt>
                <c:pt idx="263">
                  <c:v>4075.63</c:v>
                </c:pt>
                <c:pt idx="264">
                  <c:v>4063.35</c:v>
                </c:pt>
                <c:pt idx="265">
                  <c:v>4051.07</c:v>
                </c:pt>
                <c:pt idx="266">
                  <c:v>4038.79</c:v>
                </c:pt>
                <c:pt idx="267">
                  <c:v>4025.89</c:v>
                </c:pt>
                <c:pt idx="268">
                  <c:v>4012.99</c:v>
                </c:pt>
                <c:pt idx="269">
                  <c:v>4000.09</c:v>
                </c:pt>
                <c:pt idx="270">
                  <c:v>3987.19</c:v>
                </c:pt>
                <c:pt idx="271">
                  <c:v>3974.29</c:v>
                </c:pt>
                <c:pt idx="272">
                  <c:v>3960.39</c:v>
                </c:pt>
                <c:pt idx="273">
                  <c:v>3946.49</c:v>
                </c:pt>
                <c:pt idx="274">
                  <c:v>3932.59</c:v>
                </c:pt>
                <c:pt idx="275">
                  <c:v>3918.69</c:v>
                </c:pt>
                <c:pt idx="276">
                  <c:v>3904.79</c:v>
                </c:pt>
                <c:pt idx="277">
                  <c:v>3890.89</c:v>
                </c:pt>
                <c:pt idx="278">
                  <c:v>3876.99</c:v>
                </c:pt>
                <c:pt idx="279">
                  <c:v>3862.39</c:v>
                </c:pt>
                <c:pt idx="280">
                  <c:v>3847.79</c:v>
                </c:pt>
                <c:pt idx="281">
                  <c:v>3833.19</c:v>
                </c:pt>
                <c:pt idx="282">
                  <c:v>3818.59</c:v>
                </c:pt>
                <c:pt idx="283">
                  <c:v>3803.99</c:v>
                </c:pt>
                <c:pt idx="284">
                  <c:v>3789.39</c:v>
                </c:pt>
                <c:pt idx="285">
                  <c:v>3774.79</c:v>
                </c:pt>
                <c:pt idx="286">
                  <c:v>3760.19</c:v>
                </c:pt>
                <c:pt idx="287">
                  <c:v>3745.59</c:v>
                </c:pt>
                <c:pt idx="288">
                  <c:v>3730.99</c:v>
                </c:pt>
                <c:pt idx="289">
                  <c:v>3716.39</c:v>
                </c:pt>
                <c:pt idx="290">
                  <c:v>3701.79</c:v>
                </c:pt>
                <c:pt idx="291">
                  <c:v>3686.46</c:v>
                </c:pt>
                <c:pt idx="292">
                  <c:v>3670.13</c:v>
                </c:pt>
                <c:pt idx="293">
                  <c:v>3653.8</c:v>
                </c:pt>
                <c:pt idx="294">
                  <c:v>3637.47</c:v>
                </c:pt>
                <c:pt idx="295">
                  <c:v>3621.14</c:v>
                </c:pt>
                <c:pt idx="296">
                  <c:v>3604.81</c:v>
                </c:pt>
                <c:pt idx="297">
                  <c:v>3588.48</c:v>
                </c:pt>
                <c:pt idx="298">
                  <c:v>3572.15</c:v>
                </c:pt>
                <c:pt idx="299">
                  <c:v>3555.82</c:v>
                </c:pt>
                <c:pt idx="300">
                  <c:v>3539.49</c:v>
                </c:pt>
                <c:pt idx="301">
                  <c:v>3523.16</c:v>
                </c:pt>
                <c:pt idx="302">
                  <c:v>3506.83</c:v>
                </c:pt>
                <c:pt idx="303">
                  <c:v>3489.67</c:v>
                </c:pt>
                <c:pt idx="304">
                  <c:v>3472.51</c:v>
                </c:pt>
                <c:pt idx="305">
                  <c:v>3455.35</c:v>
                </c:pt>
                <c:pt idx="306">
                  <c:v>3438.19</c:v>
                </c:pt>
                <c:pt idx="307">
                  <c:v>3421.03</c:v>
                </c:pt>
                <c:pt idx="308">
                  <c:v>3403.87</c:v>
                </c:pt>
                <c:pt idx="309">
                  <c:v>3386.71</c:v>
                </c:pt>
                <c:pt idx="310">
                  <c:v>3369.55</c:v>
                </c:pt>
                <c:pt idx="311">
                  <c:v>3351.39</c:v>
                </c:pt>
                <c:pt idx="312">
                  <c:v>3333.23</c:v>
                </c:pt>
                <c:pt idx="313">
                  <c:v>3315.07</c:v>
                </c:pt>
                <c:pt idx="314">
                  <c:v>3296.91</c:v>
                </c:pt>
                <c:pt idx="315">
                  <c:v>3277.85</c:v>
                </c:pt>
                <c:pt idx="316">
                  <c:v>3258.79</c:v>
                </c:pt>
                <c:pt idx="317">
                  <c:v>3239.73</c:v>
                </c:pt>
                <c:pt idx="318">
                  <c:v>3220.67</c:v>
                </c:pt>
                <c:pt idx="319">
                  <c:v>3201.61</c:v>
                </c:pt>
                <c:pt idx="320">
                  <c:v>3182.55</c:v>
                </c:pt>
                <c:pt idx="321">
                  <c:v>3163.49</c:v>
                </c:pt>
                <c:pt idx="322">
                  <c:v>3144.43</c:v>
                </c:pt>
                <c:pt idx="323">
                  <c:v>3125.37</c:v>
                </c:pt>
                <c:pt idx="324">
                  <c:v>3106.31</c:v>
                </c:pt>
                <c:pt idx="325">
                  <c:v>3087.25</c:v>
                </c:pt>
                <c:pt idx="326">
                  <c:v>3068.19</c:v>
                </c:pt>
                <c:pt idx="327">
                  <c:v>3048.17</c:v>
                </c:pt>
                <c:pt idx="328">
                  <c:v>3028.15</c:v>
                </c:pt>
                <c:pt idx="329">
                  <c:v>3008.13</c:v>
                </c:pt>
                <c:pt idx="330">
                  <c:v>2987.11</c:v>
                </c:pt>
                <c:pt idx="331">
                  <c:v>2966.09</c:v>
                </c:pt>
                <c:pt idx="332">
                  <c:v>2945.07</c:v>
                </c:pt>
                <c:pt idx="333">
                  <c:v>2924.05</c:v>
                </c:pt>
                <c:pt idx="334">
                  <c:v>2903.03</c:v>
                </c:pt>
                <c:pt idx="335">
                  <c:v>2882.01</c:v>
                </c:pt>
                <c:pt idx="336">
                  <c:v>2860.99</c:v>
                </c:pt>
                <c:pt idx="337">
                  <c:v>2839.97</c:v>
                </c:pt>
                <c:pt idx="338">
                  <c:v>2818.95</c:v>
                </c:pt>
                <c:pt idx="339">
                  <c:v>2796.87</c:v>
                </c:pt>
                <c:pt idx="340">
                  <c:v>2774.79</c:v>
                </c:pt>
                <c:pt idx="341">
                  <c:v>2752.71</c:v>
                </c:pt>
                <c:pt idx="342">
                  <c:v>2730.63</c:v>
                </c:pt>
                <c:pt idx="343">
                  <c:v>2708.55</c:v>
                </c:pt>
                <c:pt idx="344">
                  <c:v>2686.47</c:v>
                </c:pt>
                <c:pt idx="345">
                  <c:v>2664.39</c:v>
                </c:pt>
                <c:pt idx="346">
                  <c:v>2642.31</c:v>
                </c:pt>
                <c:pt idx="347">
                  <c:v>2620.23</c:v>
                </c:pt>
                <c:pt idx="348">
                  <c:v>2597.15</c:v>
                </c:pt>
                <c:pt idx="349">
                  <c:v>2574.07</c:v>
                </c:pt>
                <c:pt idx="350">
                  <c:v>2550.99</c:v>
                </c:pt>
                <c:pt idx="351">
                  <c:v>2526.77</c:v>
                </c:pt>
                <c:pt idx="352">
                  <c:v>2502.55</c:v>
                </c:pt>
                <c:pt idx="353">
                  <c:v>2478.33</c:v>
                </c:pt>
                <c:pt idx="354">
                  <c:v>2454.11</c:v>
                </c:pt>
                <c:pt idx="355">
                  <c:v>2429.89</c:v>
                </c:pt>
                <c:pt idx="356">
                  <c:v>2405.67</c:v>
                </c:pt>
                <c:pt idx="357">
                  <c:v>2381.45</c:v>
                </c:pt>
                <c:pt idx="358">
                  <c:v>2357.23</c:v>
                </c:pt>
                <c:pt idx="359">
                  <c:v>2333.01</c:v>
                </c:pt>
                <c:pt idx="360">
                  <c:v>2308.79</c:v>
                </c:pt>
                <c:pt idx="361">
                  <c:v>2284.57</c:v>
                </c:pt>
                <c:pt idx="362">
                  <c:v>2260.35</c:v>
                </c:pt>
                <c:pt idx="363">
                  <c:v>2234.92</c:v>
                </c:pt>
                <c:pt idx="364">
                  <c:v>2209.49</c:v>
                </c:pt>
                <c:pt idx="365">
                  <c:v>2184.06</c:v>
                </c:pt>
                <c:pt idx="366">
                  <c:v>2157.63</c:v>
                </c:pt>
                <c:pt idx="367">
                  <c:v>2131.2</c:v>
                </c:pt>
                <c:pt idx="368">
                  <c:v>2104.77</c:v>
                </c:pt>
                <c:pt idx="369">
                  <c:v>2078.34</c:v>
                </c:pt>
                <c:pt idx="370">
                  <c:v>2051.91</c:v>
                </c:pt>
                <c:pt idx="371">
                  <c:v>2025.48</c:v>
                </c:pt>
                <c:pt idx="372">
                  <c:v>1999.05</c:v>
                </c:pt>
                <c:pt idx="373">
                  <c:v>1972.62</c:v>
                </c:pt>
                <c:pt idx="374">
                  <c:v>1946.19</c:v>
                </c:pt>
                <c:pt idx="375">
                  <c:v>1918.42</c:v>
                </c:pt>
                <c:pt idx="376">
                  <c:v>1890.65</c:v>
                </c:pt>
                <c:pt idx="377">
                  <c:v>1862.88</c:v>
                </c:pt>
                <c:pt idx="378">
                  <c:v>1835.11</c:v>
                </c:pt>
                <c:pt idx="379">
                  <c:v>1807.34</c:v>
                </c:pt>
                <c:pt idx="380">
                  <c:v>1779.57</c:v>
                </c:pt>
                <c:pt idx="381">
                  <c:v>1751.8</c:v>
                </c:pt>
                <c:pt idx="382">
                  <c:v>1724.03</c:v>
                </c:pt>
                <c:pt idx="383">
                  <c:v>1695.26</c:v>
                </c:pt>
                <c:pt idx="384">
                  <c:v>1666.49</c:v>
                </c:pt>
                <c:pt idx="385">
                  <c:v>1637.72</c:v>
                </c:pt>
                <c:pt idx="386">
                  <c:v>1608.95</c:v>
                </c:pt>
                <c:pt idx="387">
                  <c:v>1578.75</c:v>
                </c:pt>
                <c:pt idx="388">
                  <c:v>1548.55</c:v>
                </c:pt>
                <c:pt idx="389">
                  <c:v>1518.35</c:v>
                </c:pt>
                <c:pt idx="390">
                  <c:v>1488.15</c:v>
                </c:pt>
                <c:pt idx="391">
                  <c:v>1457.95</c:v>
                </c:pt>
                <c:pt idx="392">
                  <c:v>1427.75</c:v>
                </c:pt>
                <c:pt idx="393">
                  <c:v>1397.55</c:v>
                </c:pt>
                <c:pt idx="394">
                  <c:v>1367.35</c:v>
                </c:pt>
                <c:pt idx="395">
                  <c:v>1337.15</c:v>
                </c:pt>
                <c:pt idx="396">
                  <c:v>1306.95</c:v>
                </c:pt>
                <c:pt idx="397">
                  <c:v>1276.75</c:v>
                </c:pt>
                <c:pt idx="398">
                  <c:v>1246.55</c:v>
                </c:pt>
                <c:pt idx="399">
                  <c:v>1214.84</c:v>
                </c:pt>
                <c:pt idx="400">
                  <c:v>1182.13</c:v>
                </c:pt>
                <c:pt idx="401">
                  <c:v>1149.42</c:v>
                </c:pt>
                <c:pt idx="402">
                  <c:v>1116.71</c:v>
                </c:pt>
                <c:pt idx="403">
                  <c:v>1084</c:v>
                </c:pt>
                <c:pt idx="404">
                  <c:v>1051.29</c:v>
                </c:pt>
                <c:pt idx="405">
                  <c:v>1018.58</c:v>
                </c:pt>
                <c:pt idx="406">
                  <c:v>985.87</c:v>
                </c:pt>
                <c:pt idx="407">
                  <c:v>953.16</c:v>
                </c:pt>
                <c:pt idx="408">
                  <c:v>920.45</c:v>
                </c:pt>
                <c:pt idx="409">
                  <c:v>887.74</c:v>
                </c:pt>
                <c:pt idx="410">
                  <c:v>855.03</c:v>
                </c:pt>
                <c:pt idx="411">
                  <c:v>820.67</c:v>
                </c:pt>
                <c:pt idx="412">
                  <c:v>786.31</c:v>
                </c:pt>
                <c:pt idx="413">
                  <c:v>751.95</c:v>
                </c:pt>
                <c:pt idx="414">
                  <c:v>717.59</c:v>
                </c:pt>
                <c:pt idx="415">
                  <c:v>683.23</c:v>
                </c:pt>
                <c:pt idx="416">
                  <c:v>647.87</c:v>
                </c:pt>
                <c:pt idx="417">
                  <c:v>612.51</c:v>
                </c:pt>
                <c:pt idx="418">
                  <c:v>577.15</c:v>
                </c:pt>
                <c:pt idx="419">
                  <c:v>541.79</c:v>
                </c:pt>
                <c:pt idx="420">
                  <c:v>506.43</c:v>
                </c:pt>
                <c:pt idx="421">
                  <c:v>471.07</c:v>
                </c:pt>
                <c:pt idx="422">
                  <c:v>435.71</c:v>
                </c:pt>
                <c:pt idx="423">
                  <c:v>398.58</c:v>
                </c:pt>
                <c:pt idx="424">
                  <c:v>361.45</c:v>
                </c:pt>
                <c:pt idx="425">
                  <c:v>324.32</c:v>
                </c:pt>
                <c:pt idx="426">
                  <c:v>287.19</c:v>
                </c:pt>
                <c:pt idx="427">
                  <c:v>250.06</c:v>
                </c:pt>
                <c:pt idx="428">
                  <c:v>212.93</c:v>
                </c:pt>
                <c:pt idx="429">
                  <c:v>175.8</c:v>
                </c:pt>
                <c:pt idx="430">
                  <c:v>138.67</c:v>
                </c:pt>
                <c:pt idx="431">
                  <c:v>101.54</c:v>
                </c:pt>
                <c:pt idx="432">
                  <c:v>63.41</c:v>
                </c:pt>
                <c:pt idx="433">
                  <c:v>25.28</c:v>
                </c:pt>
                <c:pt idx="434">
                  <c:v>0</c:v>
                </c:pt>
              </c:numCache>
            </c:numRef>
          </c:val>
          <c:smooth val="0"/>
        </c:ser>
        <c:ser>
          <c:idx val="1"/>
          <c:order val="1"/>
          <c:spPr>
            <a:solidFill>
              <a:srgbClr val="ff420e"/>
            </a:solidFill>
            <a:ln w="28800">
              <a:noFill/>
            </a:ln>
          </c:spPr>
          <c:marker>
            <c:symbol val="diamond"/>
            <c:size val="8"/>
            <c:spPr>
              <a:solidFill>
                <a:srgbClr val="ff420e"/>
              </a:solidFill>
            </c:spPr>
          </c:marker>
          <c:cat>
            <c:strRef>
              <c:f>Worksheet!$C$29:$C$728</c:f>
              <c:strCache>
                <c:ptCount val="700"/>
                <c:pt idx="0">
                  <c:v>61.1</c:v>
                </c:pt>
                <c:pt idx="1">
                  <c:v>61.2</c:v>
                </c:pt>
                <c:pt idx="2">
                  <c:v>61.3</c:v>
                </c:pt>
                <c:pt idx="3">
                  <c:v>61.4</c:v>
                </c:pt>
                <c:pt idx="4">
                  <c:v>61.5</c:v>
                </c:pt>
                <c:pt idx="5">
                  <c:v>61.6</c:v>
                </c:pt>
                <c:pt idx="6">
                  <c:v>61.6</c:v>
                </c:pt>
                <c:pt idx="7">
                  <c:v>61.7</c:v>
                </c:pt>
                <c:pt idx="8">
                  <c:v>61.8</c:v>
                </c:pt>
                <c:pt idx="9">
                  <c:v>61.9</c:v>
                </c:pt>
                <c:pt idx="10">
                  <c:v>62.0</c:v>
                </c:pt>
                <c:pt idx="11">
                  <c:v>62.1</c:v>
                </c:pt>
                <c:pt idx="12">
                  <c:v>62.1</c:v>
                </c:pt>
                <c:pt idx="13">
                  <c:v>62.2</c:v>
                </c:pt>
                <c:pt idx="14">
                  <c:v>62.3</c:v>
                </c:pt>
                <c:pt idx="15">
                  <c:v>62.4</c:v>
                </c:pt>
                <c:pt idx="16">
                  <c:v>62.5</c:v>
                </c:pt>
                <c:pt idx="17">
                  <c:v>62.6</c:v>
                </c:pt>
                <c:pt idx="18">
                  <c:v>62.6</c:v>
                </c:pt>
                <c:pt idx="19">
                  <c:v>62.7</c:v>
                </c:pt>
                <c:pt idx="20">
                  <c:v>62.8</c:v>
                </c:pt>
                <c:pt idx="21">
                  <c:v>62.9</c:v>
                </c:pt>
                <c:pt idx="22">
                  <c:v>63.0</c:v>
                </c:pt>
                <c:pt idx="23">
                  <c:v>63.1</c:v>
                </c:pt>
                <c:pt idx="24">
                  <c:v>63.1</c:v>
                </c:pt>
                <c:pt idx="25">
                  <c:v>63.2</c:v>
                </c:pt>
                <c:pt idx="26">
                  <c:v>63.3</c:v>
                </c:pt>
                <c:pt idx="27">
                  <c:v>63.4</c:v>
                </c:pt>
                <c:pt idx="28">
                  <c:v>63.5</c:v>
                </c:pt>
                <c:pt idx="29">
                  <c:v>63.6</c:v>
                </c:pt>
                <c:pt idx="30">
                  <c:v>63.6</c:v>
                </c:pt>
                <c:pt idx="31">
                  <c:v>63.7</c:v>
                </c:pt>
                <c:pt idx="32">
                  <c:v>63.8</c:v>
                </c:pt>
                <c:pt idx="33">
                  <c:v>63.9</c:v>
                </c:pt>
                <c:pt idx="34">
                  <c:v>64.0</c:v>
                </c:pt>
                <c:pt idx="35">
                  <c:v>64.1</c:v>
                </c:pt>
                <c:pt idx="36">
                  <c:v>64.1</c:v>
                </c:pt>
                <c:pt idx="37">
                  <c:v>64.2</c:v>
                </c:pt>
                <c:pt idx="38">
                  <c:v>64.3</c:v>
                </c:pt>
                <c:pt idx="39">
                  <c:v>64.4</c:v>
                </c:pt>
                <c:pt idx="40">
                  <c:v>64.5</c:v>
                </c:pt>
                <c:pt idx="41">
                  <c:v>64.6</c:v>
                </c:pt>
                <c:pt idx="42">
                  <c:v>64.6</c:v>
                </c:pt>
                <c:pt idx="43">
                  <c:v>64.7</c:v>
                </c:pt>
                <c:pt idx="44">
                  <c:v>64.8</c:v>
                </c:pt>
                <c:pt idx="45">
                  <c:v>64.9</c:v>
                </c:pt>
                <c:pt idx="46">
                  <c:v>65.0</c:v>
                </c:pt>
                <c:pt idx="47">
                  <c:v>65.1</c:v>
                </c:pt>
                <c:pt idx="48">
                  <c:v>65.1</c:v>
                </c:pt>
                <c:pt idx="49">
                  <c:v>65.2</c:v>
                </c:pt>
                <c:pt idx="50">
                  <c:v>65.3</c:v>
                </c:pt>
                <c:pt idx="51">
                  <c:v>65.4</c:v>
                </c:pt>
                <c:pt idx="52">
                  <c:v>65.5</c:v>
                </c:pt>
                <c:pt idx="53">
                  <c:v>65.6</c:v>
                </c:pt>
                <c:pt idx="54">
                  <c:v>65.6</c:v>
                </c:pt>
                <c:pt idx="55">
                  <c:v>65.7</c:v>
                </c:pt>
                <c:pt idx="56">
                  <c:v>65.8</c:v>
                </c:pt>
                <c:pt idx="57">
                  <c:v>65.9</c:v>
                </c:pt>
                <c:pt idx="58">
                  <c:v>66.0</c:v>
                </c:pt>
                <c:pt idx="59">
                  <c:v>66.1</c:v>
                </c:pt>
                <c:pt idx="60">
                  <c:v>66.1</c:v>
                </c:pt>
                <c:pt idx="61">
                  <c:v>66.2</c:v>
                </c:pt>
                <c:pt idx="62">
                  <c:v>66.3</c:v>
                </c:pt>
                <c:pt idx="63">
                  <c:v>66.4</c:v>
                </c:pt>
                <c:pt idx="64">
                  <c:v>66.5</c:v>
                </c:pt>
                <c:pt idx="65">
                  <c:v>66.5</c:v>
                </c:pt>
                <c:pt idx="66">
                  <c:v>66.6</c:v>
                </c:pt>
                <c:pt idx="67">
                  <c:v>66.7</c:v>
                </c:pt>
                <c:pt idx="68">
                  <c:v>66.8</c:v>
                </c:pt>
                <c:pt idx="69">
                  <c:v>66.9</c:v>
                </c:pt>
                <c:pt idx="70">
                  <c:v>67.0</c:v>
                </c:pt>
                <c:pt idx="71">
                  <c:v>67.0</c:v>
                </c:pt>
                <c:pt idx="72">
                  <c:v>67.1</c:v>
                </c:pt>
                <c:pt idx="73">
                  <c:v>67.2</c:v>
                </c:pt>
                <c:pt idx="74">
                  <c:v>67.3</c:v>
                </c:pt>
                <c:pt idx="75">
                  <c:v>67.4</c:v>
                </c:pt>
                <c:pt idx="76">
                  <c:v>67.5</c:v>
                </c:pt>
                <c:pt idx="77">
                  <c:v>67.5</c:v>
                </c:pt>
                <c:pt idx="78">
                  <c:v>67.6</c:v>
                </c:pt>
                <c:pt idx="79">
                  <c:v>67.7</c:v>
                </c:pt>
                <c:pt idx="80">
                  <c:v>67.8</c:v>
                </c:pt>
                <c:pt idx="81">
                  <c:v>67.9</c:v>
                </c:pt>
                <c:pt idx="82">
                  <c:v>68.0</c:v>
                </c:pt>
                <c:pt idx="83">
                  <c:v>68.0</c:v>
                </c:pt>
                <c:pt idx="84">
                  <c:v>68.1</c:v>
                </c:pt>
                <c:pt idx="85">
                  <c:v>68.2</c:v>
                </c:pt>
                <c:pt idx="86">
                  <c:v>68.3</c:v>
                </c:pt>
                <c:pt idx="87">
                  <c:v>68.4</c:v>
                </c:pt>
                <c:pt idx="88">
                  <c:v>68.5</c:v>
                </c:pt>
                <c:pt idx="89">
                  <c:v>68.5</c:v>
                </c:pt>
                <c:pt idx="90">
                  <c:v>68.6</c:v>
                </c:pt>
                <c:pt idx="91">
                  <c:v>68.7</c:v>
                </c:pt>
                <c:pt idx="92">
                  <c:v>68.8</c:v>
                </c:pt>
                <c:pt idx="93">
                  <c:v>68.9</c:v>
                </c:pt>
                <c:pt idx="94">
                  <c:v>69.0</c:v>
                </c:pt>
                <c:pt idx="95">
                  <c:v>69.0</c:v>
                </c:pt>
                <c:pt idx="96">
                  <c:v>69.1</c:v>
                </c:pt>
                <c:pt idx="97">
                  <c:v>69.2</c:v>
                </c:pt>
                <c:pt idx="98">
                  <c:v>69.3</c:v>
                </c:pt>
                <c:pt idx="99">
                  <c:v>69.4</c:v>
                </c:pt>
                <c:pt idx="100">
                  <c:v>69.5</c:v>
                </c:pt>
                <c:pt idx="101">
                  <c:v>69.5</c:v>
                </c:pt>
                <c:pt idx="102">
                  <c:v>69.6</c:v>
                </c:pt>
                <c:pt idx="103">
                  <c:v>69.7</c:v>
                </c:pt>
                <c:pt idx="104">
                  <c:v>69.8</c:v>
                </c:pt>
                <c:pt idx="105">
                  <c:v>69.9</c:v>
                </c:pt>
                <c:pt idx="106">
                  <c:v>70.0</c:v>
                </c:pt>
                <c:pt idx="107">
                  <c:v>70.0</c:v>
                </c:pt>
                <c:pt idx="108">
                  <c:v>70.1</c:v>
                </c:pt>
                <c:pt idx="109">
                  <c:v>70.2</c:v>
                </c:pt>
                <c:pt idx="110">
                  <c:v>70.3</c:v>
                </c:pt>
                <c:pt idx="111">
                  <c:v>70.4</c:v>
                </c:pt>
                <c:pt idx="112">
                  <c:v>70.5</c:v>
                </c:pt>
                <c:pt idx="113">
                  <c:v>70.5</c:v>
                </c:pt>
                <c:pt idx="114">
                  <c:v>70.6</c:v>
                </c:pt>
                <c:pt idx="115">
                  <c:v>70.7</c:v>
                </c:pt>
                <c:pt idx="116">
                  <c:v>70.8</c:v>
                </c:pt>
                <c:pt idx="117">
                  <c:v>70.9</c:v>
                </c:pt>
                <c:pt idx="118">
                  <c:v>71.0</c:v>
                </c:pt>
                <c:pt idx="119">
                  <c:v>71.0</c:v>
                </c:pt>
                <c:pt idx="120">
                  <c:v>71.1</c:v>
                </c:pt>
                <c:pt idx="121">
                  <c:v>71.2</c:v>
                </c:pt>
                <c:pt idx="122">
                  <c:v>71.3</c:v>
                </c:pt>
                <c:pt idx="123">
                  <c:v>71.4</c:v>
                </c:pt>
                <c:pt idx="124">
                  <c:v>71.5</c:v>
                </c:pt>
                <c:pt idx="125">
                  <c:v>71.5</c:v>
                </c:pt>
                <c:pt idx="126">
                  <c:v>71.6</c:v>
                </c:pt>
                <c:pt idx="127">
                  <c:v>71.7</c:v>
                </c:pt>
                <c:pt idx="128">
                  <c:v>71.8</c:v>
                </c:pt>
                <c:pt idx="129">
                  <c:v>71.9</c:v>
                </c:pt>
                <c:pt idx="130">
                  <c:v>72.0</c:v>
                </c:pt>
                <c:pt idx="131">
                  <c:v>72.0</c:v>
                </c:pt>
                <c:pt idx="132">
                  <c:v>72.1</c:v>
                </c:pt>
                <c:pt idx="133">
                  <c:v>72.2</c:v>
                </c:pt>
                <c:pt idx="134">
                  <c:v>72.3</c:v>
                </c:pt>
                <c:pt idx="135">
                  <c:v>72.4</c:v>
                </c:pt>
                <c:pt idx="136">
                  <c:v>72.5</c:v>
                </c:pt>
                <c:pt idx="137">
                  <c:v>72.5</c:v>
                </c:pt>
                <c:pt idx="138">
                  <c:v>72.6</c:v>
                </c:pt>
                <c:pt idx="139">
                  <c:v>72.7</c:v>
                </c:pt>
                <c:pt idx="140">
                  <c:v>72.8</c:v>
                </c:pt>
                <c:pt idx="141">
                  <c:v>72.9</c:v>
                </c:pt>
                <c:pt idx="142">
                  <c:v>73.0</c:v>
                </c:pt>
                <c:pt idx="143">
                  <c:v>73.0</c:v>
                </c:pt>
                <c:pt idx="144">
                  <c:v>73.1</c:v>
                </c:pt>
                <c:pt idx="145">
                  <c:v>73.2</c:v>
                </c:pt>
                <c:pt idx="146">
                  <c:v>73.3</c:v>
                </c:pt>
                <c:pt idx="147">
                  <c:v>73.4</c:v>
                </c:pt>
                <c:pt idx="148">
                  <c:v>73.5</c:v>
                </c:pt>
                <c:pt idx="149">
                  <c:v>73.5</c:v>
                </c:pt>
                <c:pt idx="150">
                  <c:v>73.6</c:v>
                </c:pt>
                <c:pt idx="151">
                  <c:v>73.7</c:v>
                </c:pt>
                <c:pt idx="152">
                  <c:v>73.8</c:v>
                </c:pt>
                <c:pt idx="153">
                  <c:v>73.9</c:v>
                </c:pt>
                <c:pt idx="154">
                  <c:v>74.0</c:v>
                </c:pt>
                <c:pt idx="155">
                  <c:v>74.0</c:v>
                </c:pt>
                <c:pt idx="156">
                  <c:v>74.1</c:v>
                </c:pt>
                <c:pt idx="157">
                  <c:v>74.2</c:v>
                </c:pt>
                <c:pt idx="158">
                  <c:v>74.3</c:v>
                </c:pt>
                <c:pt idx="159">
                  <c:v>74.4</c:v>
                </c:pt>
                <c:pt idx="160">
                  <c:v>74.5</c:v>
                </c:pt>
                <c:pt idx="161">
                  <c:v>74.5</c:v>
                </c:pt>
                <c:pt idx="162">
                  <c:v>74.6</c:v>
                </c:pt>
                <c:pt idx="163">
                  <c:v>74.7</c:v>
                </c:pt>
                <c:pt idx="164">
                  <c:v>74.8</c:v>
                </c:pt>
                <c:pt idx="165">
                  <c:v>74.9</c:v>
                </c:pt>
                <c:pt idx="166">
                  <c:v>75.0</c:v>
                </c:pt>
                <c:pt idx="167">
                  <c:v>75.0</c:v>
                </c:pt>
                <c:pt idx="168">
                  <c:v>75.1</c:v>
                </c:pt>
                <c:pt idx="169">
                  <c:v>75.2</c:v>
                </c:pt>
                <c:pt idx="170">
                  <c:v>75.3</c:v>
                </c:pt>
                <c:pt idx="171">
                  <c:v>75.4</c:v>
                </c:pt>
                <c:pt idx="172">
                  <c:v>75.5</c:v>
                </c:pt>
                <c:pt idx="173">
                  <c:v>75.5</c:v>
                </c:pt>
                <c:pt idx="174">
                  <c:v>75.6</c:v>
                </c:pt>
                <c:pt idx="175">
                  <c:v>75.7</c:v>
                </c:pt>
                <c:pt idx="176">
                  <c:v>75.8</c:v>
                </c:pt>
                <c:pt idx="177">
                  <c:v>75.9</c:v>
                </c:pt>
                <c:pt idx="178">
                  <c:v>76.0</c:v>
                </c:pt>
                <c:pt idx="179">
                  <c:v>76.0</c:v>
                </c:pt>
                <c:pt idx="180">
                  <c:v>76.1</c:v>
                </c:pt>
                <c:pt idx="181">
                  <c:v>76.2</c:v>
                </c:pt>
                <c:pt idx="182">
                  <c:v>76.3</c:v>
                </c:pt>
                <c:pt idx="183">
                  <c:v>76.4</c:v>
                </c:pt>
                <c:pt idx="184">
                  <c:v>76.5</c:v>
                </c:pt>
                <c:pt idx="185">
                  <c:v>76.5</c:v>
                </c:pt>
                <c:pt idx="186">
                  <c:v>76.6</c:v>
                </c:pt>
                <c:pt idx="187">
                  <c:v>76.7</c:v>
                </c:pt>
                <c:pt idx="188">
                  <c:v>76.8</c:v>
                </c:pt>
                <c:pt idx="189">
                  <c:v>76.9</c:v>
                </c:pt>
                <c:pt idx="190">
                  <c:v>77.0</c:v>
                </c:pt>
                <c:pt idx="191">
                  <c:v>77.0</c:v>
                </c:pt>
                <c:pt idx="192">
                  <c:v>77.1</c:v>
                </c:pt>
                <c:pt idx="193">
                  <c:v>77.2</c:v>
                </c:pt>
                <c:pt idx="194">
                  <c:v>77.3</c:v>
                </c:pt>
                <c:pt idx="195">
                  <c:v>77.4</c:v>
                </c:pt>
                <c:pt idx="196">
                  <c:v>77.5</c:v>
                </c:pt>
                <c:pt idx="197">
                  <c:v>77.5</c:v>
                </c:pt>
                <c:pt idx="198">
                  <c:v>77.6</c:v>
                </c:pt>
                <c:pt idx="199">
                  <c:v>77.7</c:v>
                </c:pt>
                <c:pt idx="200">
                  <c:v>77.8</c:v>
                </c:pt>
                <c:pt idx="201">
                  <c:v>77.9</c:v>
                </c:pt>
                <c:pt idx="202">
                  <c:v>78.0</c:v>
                </c:pt>
                <c:pt idx="203">
                  <c:v>78.0</c:v>
                </c:pt>
                <c:pt idx="204">
                  <c:v>78.1</c:v>
                </c:pt>
                <c:pt idx="205">
                  <c:v>78.2</c:v>
                </c:pt>
                <c:pt idx="206">
                  <c:v>78.3</c:v>
                </c:pt>
                <c:pt idx="207">
                  <c:v>78.4</c:v>
                </c:pt>
                <c:pt idx="208">
                  <c:v>78.5</c:v>
                </c:pt>
                <c:pt idx="209">
                  <c:v>78.5</c:v>
                </c:pt>
                <c:pt idx="210">
                  <c:v>78.6</c:v>
                </c:pt>
                <c:pt idx="211">
                  <c:v>78.7</c:v>
                </c:pt>
                <c:pt idx="212">
                  <c:v>78.8</c:v>
                </c:pt>
                <c:pt idx="213">
                  <c:v>78.9</c:v>
                </c:pt>
                <c:pt idx="214">
                  <c:v>79.0</c:v>
                </c:pt>
                <c:pt idx="215">
                  <c:v>79.0</c:v>
                </c:pt>
                <c:pt idx="216">
                  <c:v>79.1</c:v>
                </c:pt>
                <c:pt idx="217">
                  <c:v>79.2</c:v>
                </c:pt>
                <c:pt idx="218">
                  <c:v>79.3</c:v>
                </c:pt>
                <c:pt idx="219">
                  <c:v>79.4</c:v>
                </c:pt>
                <c:pt idx="220">
                  <c:v>79.5</c:v>
                </c:pt>
                <c:pt idx="221">
                  <c:v>79.5</c:v>
                </c:pt>
                <c:pt idx="222">
                  <c:v>79.6</c:v>
                </c:pt>
                <c:pt idx="223">
                  <c:v>79.7</c:v>
                </c:pt>
                <c:pt idx="224">
                  <c:v>79.8</c:v>
                </c:pt>
                <c:pt idx="225">
                  <c:v>79.9</c:v>
                </c:pt>
                <c:pt idx="226">
                  <c:v>80.0</c:v>
                </c:pt>
                <c:pt idx="227">
                  <c:v>80.0</c:v>
                </c:pt>
                <c:pt idx="228">
                  <c:v>80.1</c:v>
                </c:pt>
                <c:pt idx="229">
                  <c:v>80.2</c:v>
                </c:pt>
                <c:pt idx="230">
                  <c:v>80.3</c:v>
                </c:pt>
                <c:pt idx="231">
                  <c:v>80.4</c:v>
                </c:pt>
                <c:pt idx="232">
                  <c:v>80.5</c:v>
                </c:pt>
                <c:pt idx="233">
                  <c:v>80.5</c:v>
                </c:pt>
                <c:pt idx="234">
                  <c:v>80.6</c:v>
                </c:pt>
                <c:pt idx="235">
                  <c:v>80.7</c:v>
                </c:pt>
                <c:pt idx="236">
                  <c:v>80.8</c:v>
                </c:pt>
                <c:pt idx="237">
                  <c:v>80.9</c:v>
                </c:pt>
                <c:pt idx="238">
                  <c:v>81.0</c:v>
                </c:pt>
                <c:pt idx="239">
                  <c:v>81.0</c:v>
                </c:pt>
                <c:pt idx="240">
                  <c:v>81.1</c:v>
                </c:pt>
                <c:pt idx="241">
                  <c:v>81.2</c:v>
                </c:pt>
                <c:pt idx="242">
                  <c:v>81.3</c:v>
                </c:pt>
                <c:pt idx="243">
                  <c:v>81.4</c:v>
                </c:pt>
                <c:pt idx="244">
                  <c:v>81.5</c:v>
                </c:pt>
                <c:pt idx="245">
                  <c:v>81.5</c:v>
                </c:pt>
                <c:pt idx="246">
                  <c:v>81.6</c:v>
                </c:pt>
                <c:pt idx="247">
                  <c:v>81.7</c:v>
                </c:pt>
                <c:pt idx="248">
                  <c:v>81.8</c:v>
                </c:pt>
                <c:pt idx="249">
                  <c:v>81.9</c:v>
                </c:pt>
                <c:pt idx="250">
                  <c:v>82.0</c:v>
                </c:pt>
                <c:pt idx="251">
                  <c:v>82.0</c:v>
                </c:pt>
                <c:pt idx="252">
                  <c:v>82.1</c:v>
                </c:pt>
                <c:pt idx="253">
                  <c:v>82.2</c:v>
                </c:pt>
                <c:pt idx="254">
                  <c:v>82.3</c:v>
                </c:pt>
                <c:pt idx="255">
                  <c:v>82.4</c:v>
                </c:pt>
                <c:pt idx="256">
                  <c:v>82.5</c:v>
                </c:pt>
                <c:pt idx="257">
                  <c:v>82.5</c:v>
                </c:pt>
                <c:pt idx="258">
                  <c:v>82.6</c:v>
                </c:pt>
                <c:pt idx="259">
                  <c:v>82.7</c:v>
                </c:pt>
                <c:pt idx="260">
                  <c:v>82.8</c:v>
                </c:pt>
                <c:pt idx="261">
                  <c:v>82.9</c:v>
                </c:pt>
                <c:pt idx="262">
                  <c:v>83.0</c:v>
                </c:pt>
                <c:pt idx="263">
                  <c:v>83.0</c:v>
                </c:pt>
                <c:pt idx="264">
                  <c:v>83.1</c:v>
                </c:pt>
                <c:pt idx="265">
                  <c:v>83.2</c:v>
                </c:pt>
                <c:pt idx="266">
                  <c:v>83.3</c:v>
                </c:pt>
                <c:pt idx="267">
                  <c:v>83.4</c:v>
                </c:pt>
                <c:pt idx="268">
                  <c:v>83.5</c:v>
                </c:pt>
                <c:pt idx="269">
                  <c:v>83.5</c:v>
                </c:pt>
                <c:pt idx="270">
                  <c:v>83.6</c:v>
                </c:pt>
                <c:pt idx="271">
                  <c:v>83.7</c:v>
                </c:pt>
                <c:pt idx="272">
                  <c:v>83.8</c:v>
                </c:pt>
                <c:pt idx="273">
                  <c:v>83.9</c:v>
                </c:pt>
                <c:pt idx="274">
                  <c:v>84.0</c:v>
                </c:pt>
                <c:pt idx="275">
                  <c:v>84.0</c:v>
                </c:pt>
                <c:pt idx="276">
                  <c:v>84.1</c:v>
                </c:pt>
                <c:pt idx="277">
                  <c:v>84.2</c:v>
                </c:pt>
                <c:pt idx="278">
                  <c:v>84.3</c:v>
                </c:pt>
                <c:pt idx="279">
                  <c:v>84.4</c:v>
                </c:pt>
                <c:pt idx="280">
                  <c:v>84.5</c:v>
                </c:pt>
                <c:pt idx="281">
                  <c:v>84.5</c:v>
                </c:pt>
                <c:pt idx="282">
                  <c:v>84.6</c:v>
                </c:pt>
                <c:pt idx="283">
                  <c:v>84.7</c:v>
                </c:pt>
                <c:pt idx="284">
                  <c:v>84.8</c:v>
                </c:pt>
                <c:pt idx="285">
                  <c:v>84.9</c:v>
                </c:pt>
                <c:pt idx="286">
                  <c:v>85.0</c:v>
                </c:pt>
                <c:pt idx="287">
                  <c:v>85.0</c:v>
                </c:pt>
                <c:pt idx="288">
                  <c:v>85.1</c:v>
                </c:pt>
                <c:pt idx="289">
                  <c:v>85.2</c:v>
                </c:pt>
                <c:pt idx="290">
                  <c:v>85.3</c:v>
                </c:pt>
                <c:pt idx="291">
                  <c:v>85.4</c:v>
                </c:pt>
                <c:pt idx="292">
                  <c:v>85.5</c:v>
                </c:pt>
                <c:pt idx="293">
                  <c:v>85.5</c:v>
                </c:pt>
                <c:pt idx="294">
                  <c:v>85.6</c:v>
                </c:pt>
                <c:pt idx="295">
                  <c:v>85.7</c:v>
                </c:pt>
                <c:pt idx="296">
                  <c:v>85.8</c:v>
                </c:pt>
                <c:pt idx="297">
                  <c:v>85.9</c:v>
                </c:pt>
                <c:pt idx="298">
                  <c:v>86.0</c:v>
                </c:pt>
                <c:pt idx="299">
                  <c:v>86.0</c:v>
                </c:pt>
                <c:pt idx="300">
                  <c:v>86.1</c:v>
                </c:pt>
                <c:pt idx="301">
                  <c:v>86.2</c:v>
                </c:pt>
                <c:pt idx="302">
                  <c:v>86.3</c:v>
                </c:pt>
                <c:pt idx="303">
                  <c:v>86.4</c:v>
                </c:pt>
                <c:pt idx="304">
                  <c:v>86.5</c:v>
                </c:pt>
                <c:pt idx="305">
                  <c:v>86.5</c:v>
                </c:pt>
                <c:pt idx="306">
                  <c:v>86.6</c:v>
                </c:pt>
                <c:pt idx="307">
                  <c:v>86.7</c:v>
                </c:pt>
                <c:pt idx="308">
                  <c:v>86.8</c:v>
                </c:pt>
                <c:pt idx="309">
                  <c:v>86.9</c:v>
                </c:pt>
                <c:pt idx="310">
                  <c:v>87.0</c:v>
                </c:pt>
                <c:pt idx="311">
                  <c:v>87.0</c:v>
                </c:pt>
                <c:pt idx="312">
                  <c:v>87.1</c:v>
                </c:pt>
                <c:pt idx="313">
                  <c:v>87.2</c:v>
                </c:pt>
                <c:pt idx="314">
                  <c:v>87.3</c:v>
                </c:pt>
                <c:pt idx="315">
                  <c:v>87.4</c:v>
                </c:pt>
                <c:pt idx="316">
                  <c:v>87.5</c:v>
                </c:pt>
                <c:pt idx="317">
                  <c:v>87.5</c:v>
                </c:pt>
                <c:pt idx="318">
                  <c:v>87.6</c:v>
                </c:pt>
                <c:pt idx="319">
                  <c:v>87.7</c:v>
                </c:pt>
                <c:pt idx="320">
                  <c:v>87.8</c:v>
                </c:pt>
                <c:pt idx="321">
                  <c:v>87.9</c:v>
                </c:pt>
                <c:pt idx="322">
                  <c:v>88.0</c:v>
                </c:pt>
                <c:pt idx="323">
                  <c:v>88.0</c:v>
                </c:pt>
                <c:pt idx="324">
                  <c:v>88.1</c:v>
                </c:pt>
                <c:pt idx="325">
                  <c:v>88.2</c:v>
                </c:pt>
                <c:pt idx="326">
                  <c:v>88.3</c:v>
                </c:pt>
                <c:pt idx="327">
                  <c:v>88.4</c:v>
                </c:pt>
                <c:pt idx="328">
                  <c:v>88.5</c:v>
                </c:pt>
                <c:pt idx="329">
                  <c:v>88.5</c:v>
                </c:pt>
                <c:pt idx="330">
                  <c:v>88.6</c:v>
                </c:pt>
                <c:pt idx="331">
                  <c:v>88.7</c:v>
                </c:pt>
                <c:pt idx="332">
                  <c:v>88.8</c:v>
                </c:pt>
                <c:pt idx="333">
                  <c:v>88.9</c:v>
                </c:pt>
                <c:pt idx="334">
                  <c:v>89.0</c:v>
                </c:pt>
                <c:pt idx="335">
                  <c:v>89.0</c:v>
                </c:pt>
                <c:pt idx="336">
                  <c:v>89.1</c:v>
                </c:pt>
                <c:pt idx="337">
                  <c:v>89.2</c:v>
                </c:pt>
                <c:pt idx="338">
                  <c:v>89.3</c:v>
                </c:pt>
                <c:pt idx="339">
                  <c:v>89.4</c:v>
                </c:pt>
                <c:pt idx="340">
                  <c:v>89.5</c:v>
                </c:pt>
                <c:pt idx="341">
                  <c:v>89.5</c:v>
                </c:pt>
                <c:pt idx="342">
                  <c:v>89.6</c:v>
                </c:pt>
                <c:pt idx="343">
                  <c:v>89.7</c:v>
                </c:pt>
                <c:pt idx="344">
                  <c:v>89.8</c:v>
                </c:pt>
                <c:pt idx="345">
                  <c:v>89.9</c:v>
                </c:pt>
                <c:pt idx="346">
                  <c:v>90.0</c:v>
                </c:pt>
                <c:pt idx="347">
                  <c:v>90.0</c:v>
                </c:pt>
                <c:pt idx="348">
                  <c:v>90.1</c:v>
                </c:pt>
                <c:pt idx="349">
                  <c:v>90.2</c:v>
                </c:pt>
                <c:pt idx="350">
                  <c:v>90.3</c:v>
                </c:pt>
                <c:pt idx="351">
                  <c:v>90.4</c:v>
                </c:pt>
                <c:pt idx="352">
                  <c:v>90.5</c:v>
                </c:pt>
                <c:pt idx="353">
                  <c:v>90.5</c:v>
                </c:pt>
                <c:pt idx="354">
                  <c:v>90.6</c:v>
                </c:pt>
                <c:pt idx="355">
                  <c:v>90.7</c:v>
                </c:pt>
                <c:pt idx="356">
                  <c:v>90.8</c:v>
                </c:pt>
                <c:pt idx="357">
                  <c:v>90.9</c:v>
                </c:pt>
                <c:pt idx="358">
                  <c:v>91.0</c:v>
                </c:pt>
                <c:pt idx="359">
                  <c:v>91.0</c:v>
                </c:pt>
                <c:pt idx="360">
                  <c:v>91.1</c:v>
                </c:pt>
                <c:pt idx="361">
                  <c:v>91.2</c:v>
                </c:pt>
                <c:pt idx="362">
                  <c:v>91.3</c:v>
                </c:pt>
                <c:pt idx="363">
                  <c:v>91.4</c:v>
                </c:pt>
                <c:pt idx="364">
                  <c:v>91.5</c:v>
                </c:pt>
                <c:pt idx="365">
                  <c:v>91.5</c:v>
                </c:pt>
                <c:pt idx="366">
                  <c:v>91.6</c:v>
                </c:pt>
                <c:pt idx="367">
                  <c:v>91.7</c:v>
                </c:pt>
                <c:pt idx="368">
                  <c:v>91.8</c:v>
                </c:pt>
                <c:pt idx="369">
                  <c:v>91.9</c:v>
                </c:pt>
                <c:pt idx="370">
                  <c:v>92.0</c:v>
                </c:pt>
                <c:pt idx="371">
                  <c:v>92.0</c:v>
                </c:pt>
                <c:pt idx="372">
                  <c:v>92.1</c:v>
                </c:pt>
                <c:pt idx="373">
                  <c:v>92.2</c:v>
                </c:pt>
                <c:pt idx="374">
                  <c:v>92.3</c:v>
                </c:pt>
                <c:pt idx="375">
                  <c:v>92.4</c:v>
                </c:pt>
                <c:pt idx="376">
                  <c:v>92.5</c:v>
                </c:pt>
                <c:pt idx="377">
                  <c:v>92.5</c:v>
                </c:pt>
                <c:pt idx="378">
                  <c:v>92.6</c:v>
                </c:pt>
                <c:pt idx="379">
                  <c:v>92.7</c:v>
                </c:pt>
                <c:pt idx="380">
                  <c:v>92.8</c:v>
                </c:pt>
                <c:pt idx="381">
                  <c:v>92.9</c:v>
                </c:pt>
                <c:pt idx="382">
                  <c:v>93.0</c:v>
                </c:pt>
                <c:pt idx="383">
                  <c:v>93.0</c:v>
                </c:pt>
                <c:pt idx="384">
                  <c:v>93.1</c:v>
                </c:pt>
                <c:pt idx="385">
                  <c:v>93.2</c:v>
                </c:pt>
                <c:pt idx="386">
                  <c:v>93.3</c:v>
                </c:pt>
                <c:pt idx="387">
                  <c:v>93.4</c:v>
                </c:pt>
                <c:pt idx="388">
                  <c:v>93.5</c:v>
                </c:pt>
                <c:pt idx="389">
                  <c:v>93.5</c:v>
                </c:pt>
                <c:pt idx="390">
                  <c:v>93.6</c:v>
                </c:pt>
                <c:pt idx="391">
                  <c:v>93.7</c:v>
                </c:pt>
                <c:pt idx="392">
                  <c:v>93.8</c:v>
                </c:pt>
                <c:pt idx="393">
                  <c:v>93.9</c:v>
                </c:pt>
                <c:pt idx="394">
                  <c:v>94.0</c:v>
                </c:pt>
                <c:pt idx="395">
                  <c:v>94.0</c:v>
                </c:pt>
                <c:pt idx="396">
                  <c:v>94.1</c:v>
                </c:pt>
                <c:pt idx="397">
                  <c:v>94.2</c:v>
                </c:pt>
                <c:pt idx="398">
                  <c:v>94.3</c:v>
                </c:pt>
                <c:pt idx="399">
                  <c:v>94.4</c:v>
                </c:pt>
                <c:pt idx="400">
                  <c:v>94.5</c:v>
                </c:pt>
                <c:pt idx="401">
                  <c:v>94.5</c:v>
                </c:pt>
                <c:pt idx="402">
                  <c:v>94.6</c:v>
                </c:pt>
                <c:pt idx="403">
                  <c:v>94.7</c:v>
                </c:pt>
                <c:pt idx="404">
                  <c:v>94.8</c:v>
                </c:pt>
                <c:pt idx="405">
                  <c:v>94.9</c:v>
                </c:pt>
                <c:pt idx="406">
                  <c:v>95.0</c:v>
                </c:pt>
                <c:pt idx="407">
                  <c:v>95.0</c:v>
                </c:pt>
                <c:pt idx="408">
                  <c:v>95.1</c:v>
                </c:pt>
                <c:pt idx="409">
                  <c:v>95.2</c:v>
                </c:pt>
                <c:pt idx="410">
                  <c:v>95.3</c:v>
                </c:pt>
                <c:pt idx="411">
                  <c:v>95.4</c:v>
                </c:pt>
                <c:pt idx="412">
                  <c:v>95.5</c:v>
                </c:pt>
                <c:pt idx="413">
                  <c:v>95.5</c:v>
                </c:pt>
                <c:pt idx="414">
                  <c:v>95.6</c:v>
                </c:pt>
                <c:pt idx="415">
                  <c:v>95.7</c:v>
                </c:pt>
                <c:pt idx="416">
                  <c:v>95.8</c:v>
                </c:pt>
                <c:pt idx="417">
                  <c:v>95.9</c:v>
                </c:pt>
                <c:pt idx="418">
                  <c:v>96.0</c:v>
                </c:pt>
                <c:pt idx="419">
                  <c:v>96.0</c:v>
                </c:pt>
                <c:pt idx="420">
                  <c:v>96.1</c:v>
                </c:pt>
                <c:pt idx="421">
                  <c:v>96.2</c:v>
                </c:pt>
                <c:pt idx="422">
                  <c:v>96.3</c:v>
                </c:pt>
                <c:pt idx="423">
                  <c:v>96.4</c:v>
                </c:pt>
                <c:pt idx="424">
                  <c:v>96.5</c:v>
                </c:pt>
                <c:pt idx="425">
                  <c:v>96.5</c:v>
                </c:pt>
                <c:pt idx="426">
                  <c:v>96.6</c:v>
                </c:pt>
                <c:pt idx="427">
                  <c:v>96.7</c:v>
                </c:pt>
                <c:pt idx="428">
                  <c:v>96.8</c:v>
                </c:pt>
                <c:pt idx="429">
                  <c:v>96.9</c:v>
                </c:pt>
                <c:pt idx="430">
                  <c:v>97.0</c:v>
                </c:pt>
                <c:pt idx="431">
                  <c:v>97.0</c:v>
                </c:pt>
                <c:pt idx="432">
                  <c:v>97.1</c:v>
                </c:pt>
                <c:pt idx="433">
                  <c:v>97.2</c:v>
                </c:pt>
                <c:pt idx="434">
                  <c:v>97.3</c:v>
                </c:pt>
                <c:pt idx="435">
                  <c:v/>
                </c:pt>
                <c:pt idx="436">
                  <c:v/>
                </c:pt>
                <c:pt idx="437">
                  <c:v/>
                </c:pt>
                <c:pt idx="438">
                  <c:v/>
                </c:pt>
                <c:pt idx="439">
                  <c:v/>
                </c:pt>
                <c:pt idx="440">
                  <c:v/>
                </c:pt>
                <c:pt idx="441">
                  <c:v/>
                </c:pt>
                <c:pt idx="442">
                  <c:v/>
                </c:pt>
                <c:pt idx="443">
                  <c:v/>
                </c:pt>
                <c:pt idx="444">
                  <c:v/>
                </c:pt>
                <c:pt idx="445">
                  <c:v/>
                </c:pt>
                <c:pt idx="446">
                  <c:v/>
                </c:pt>
                <c:pt idx="447">
                  <c:v/>
                </c:pt>
                <c:pt idx="448">
                  <c:v/>
                </c:pt>
                <c:pt idx="449">
                  <c:v/>
                </c:pt>
                <c:pt idx="450">
                  <c:v/>
                </c:pt>
                <c:pt idx="451">
                  <c:v/>
                </c:pt>
                <c:pt idx="452">
                  <c:v/>
                </c:pt>
                <c:pt idx="453">
                  <c:v/>
                </c:pt>
                <c:pt idx="454">
                  <c:v/>
                </c:pt>
                <c:pt idx="455">
                  <c:v/>
                </c:pt>
                <c:pt idx="456">
                  <c:v/>
                </c:pt>
                <c:pt idx="457">
                  <c:v/>
                </c:pt>
                <c:pt idx="458">
                  <c:v/>
                </c:pt>
                <c:pt idx="459">
                  <c:v/>
                </c:pt>
                <c:pt idx="460">
                  <c:v/>
                </c:pt>
                <c:pt idx="461">
                  <c:v/>
                </c:pt>
                <c:pt idx="462">
                  <c:v/>
                </c:pt>
                <c:pt idx="463">
                  <c:v/>
                </c:pt>
                <c:pt idx="464">
                  <c:v/>
                </c:pt>
                <c:pt idx="465">
                  <c:v/>
                </c:pt>
                <c:pt idx="466">
                  <c:v/>
                </c:pt>
                <c:pt idx="467">
                  <c:v/>
                </c:pt>
                <c:pt idx="468">
                  <c:v/>
                </c:pt>
                <c:pt idx="469">
                  <c:v/>
                </c:pt>
                <c:pt idx="470">
                  <c:v/>
                </c:pt>
                <c:pt idx="471">
                  <c:v/>
                </c:pt>
                <c:pt idx="472">
                  <c:v/>
                </c:pt>
                <c:pt idx="473">
                  <c:v/>
                </c:pt>
                <c:pt idx="474">
                  <c:v/>
                </c:pt>
                <c:pt idx="475">
                  <c:v/>
                </c:pt>
                <c:pt idx="476">
                  <c:v/>
                </c:pt>
                <c:pt idx="477">
                  <c:v/>
                </c:pt>
                <c:pt idx="478">
                  <c:v/>
                </c:pt>
                <c:pt idx="479">
                  <c:v/>
                </c:pt>
                <c:pt idx="480">
                  <c:v/>
                </c:pt>
                <c:pt idx="481">
                  <c:v/>
                </c:pt>
                <c:pt idx="482">
                  <c:v/>
                </c:pt>
                <c:pt idx="483">
                  <c:v/>
                </c:pt>
                <c:pt idx="484">
                  <c:v/>
                </c:pt>
                <c:pt idx="485">
                  <c:v/>
                </c:pt>
                <c:pt idx="486">
                  <c:v/>
                </c:pt>
                <c:pt idx="487">
                  <c:v/>
                </c:pt>
                <c:pt idx="488">
                  <c:v/>
                </c:pt>
                <c:pt idx="489">
                  <c:v/>
                </c:pt>
                <c:pt idx="490">
                  <c:v/>
                </c:pt>
                <c:pt idx="491">
                  <c:v/>
                </c:pt>
                <c:pt idx="492">
                  <c:v/>
                </c:pt>
                <c:pt idx="493">
                  <c:v/>
                </c:pt>
                <c:pt idx="494">
                  <c:v/>
                </c:pt>
                <c:pt idx="495">
                  <c:v/>
                </c:pt>
                <c:pt idx="496">
                  <c:v/>
                </c:pt>
                <c:pt idx="497">
                  <c:v/>
                </c:pt>
                <c:pt idx="498">
                  <c:v/>
                </c:pt>
                <c:pt idx="499">
                  <c:v/>
                </c:pt>
                <c:pt idx="500">
                  <c:v/>
                </c:pt>
                <c:pt idx="501">
                  <c:v/>
                </c:pt>
                <c:pt idx="502">
                  <c:v/>
                </c:pt>
                <c:pt idx="503">
                  <c:v/>
                </c:pt>
                <c:pt idx="504">
                  <c:v/>
                </c:pt>
                <c:pt idx="505">
                  <c:v/>
                </c:pt>
                <c:pt idx="506">
                  <c:v/>
                </c:pt>
                <c:pt idx="507">
                  <c:v/>
                </c:pt>
                <c:pt idx="508">
                  <c:v/>
                </c:pt>
                <c:pt idx="509">
                  <c:v/>
                </c:pt>
                <c:pt idx="510">
                  <c:v/>
                </c:pt>
                <c:pt idx="511">
                  <c:v/>
                </c:pt>
                <c:pt idx="512">
                  <c:v/>
                </c:pt>
                <c:pt idx="513">
                  <c:v/>
                </c:pt>
                <c:pt idx="514">
                  <c:v/>
                </c:pt>
                <c:pt idx="515">
                  <c:v/>
                </c:pt>
                <c:pt idx="516">
                  <c:v/>
                </c:pt>
                <c:pt idx="517">
                  <c:v/>
                </c:pt>
                <c:pt idx="518">
                  <c:v/>
                </c:pt>
                <c:pt idx="519">
                  <c:v/>
                </c:pt>
                <c:pt idx="520">
                  <c:v/>
                </c:pt>
                <c:pt idx="521">
                  <c:v/>
                </c:pt>
                <c:pt idx="522">
                  <c:v/>
                </c:pt>
                <c:pt idx="523">
                  <c:v/>
                </c:pt>
                <c:pt idx="524">
                  <c:v/>
                </c:pt>
                <c:pt idx="525">
                  <c:v/>
                </c:pt>
                <c:pt idx="526">
                  <c:v/>
                </c:pt>
                <c:pt idx="527">
                  <c:v/>
                </c:pt>
                <c:pt idx="528">
                  <c:v/>
                </c:pt>
                <c:pt idx="529">
                  <c:v/>
                </c:pt>
                <c:pt idx="530">
                  <c:v/>
                </c:pt>
                <c:pt idx="531">
                  <c:v/>
                </c:pt>
                <c:pt idx="532">
                  <c:v/>
                </c:pt>
                <c:pt idx="533">
                  <c:v/>
                </c:pt>
                <c:pt idx="534">
                  <c:v/>
                </c:pt>
                <c:pt idx="535">
                  <c:v/>
                </c:pt>
                <c:pt idx="536">
                  <c:v/>
                </c:pt>
                <c:pt idx="537">
                  <c:v/>
                </c:pt>
                <c:pt idx="538">
                  <c:v/>
                </c:pt>
                <c:pt idx="539">
                  <c:v/>
                </c:pt>
                <c:pt idx="540">
                  <c:v/>
                </c:pt>
                <c:pt idx="541">
                  <c:v/>
                </c:pt>
                <c:pt idx="542">
                  <c:v/>
                </c:pt>
                <c:pt idx="543">
                  <c:v/>
                </c:pt>
                <c:pt idx="544">
                  <c:v/>
                </c:pt>
                <c:pt idx="545">
                  <c:v/>
                </c:pt>
                <c:pt idx="546">
                  <c:v/>
                </c:pt>
                <c:pt idx="547">
                  <c:v/>
                </c:pt>
                <c:pt idx="548">
                  <c:v/>
                </c:pt>
                <c:pt idx="549">
                  <c:v/>
                </c:pt>
                <c:pt idx="550">
                  <c:v/>
                </c:pt>
                <c:pt idx="551">
                  <c:v/>
                </c:pt>
                <c:pt idx="552">
                  <c:v/>
                </c:pt>
                <c:pt idx="553">
                  <c:v/>
                </c:pt>
                <c:pt idx="554">
                  <c:v/>
                </c:pt>
                <c:pt idx="555">
                  <c:v/>
                </c:pt>
                <c:pt idx="556">
                  <c:v/>
                </c:pt>
                <c:pt idx="557">
                  <c:v/>
                </c:pt>
                <c:pt idx="558">
                  <c:v/>
                </c:pt>
                <c:pt idx="559">
                  <c:v/>
                </c:pt>
                <c:pt idx="560">
                  <c:v/>
                </c:pt>
                <c:pt idx="561">
                  <c:v/>
                </c:pt>
                <c:pt idx="562">
                  <c:v/>
                </c:pt>
                <c:pt idx="563">
                  <c:v/>
                </c:pt>
                <c:pt idx="564">
                  <c:v/>
                </c:pt>
                <c:pt idx="565">
                  <c:v/>
                </c:pt>
                <c:pt idx="566">
                  <c:v/>
                </c:pt>
                <c:pt idx="567">
                  <c:v/>
                </c:pt>
                <c:pt idx="568">
                  <c:v/>
                </c:pt>
                <c:pt idx="569">
                  <c:v/>
                </c:pt>
                <c:pt idx="570">
                  <c:v/>
                </c:pt>
                <c:pt idx="571">
                  <c:v/>
                </c:pt>
                <c:pt idx="572">
                  <c:v/>
                </c:pt>
                <c:pt idx="573">
                  <c:v/>
                </c:pt>
                <c:pt idx="574">
                  <c:v/>
                </c:pt>
                <c:pt idx="575">
                  <c:v/>
                </c:pt>
                <c:pt idx="576">
                  <c:v/>
                </c:pt>
                <c:pt idx="577">
                  <c:v/>
                </c:pt>
                <c:pt idx="578">
                  <c:v/>
                </c:pt>
                <c:pt idx="579">
                  <c:v/>
                </c:pt>
                <c:pt idx="580">
                  <c:v/>
                </c:pt>
                <c:pt idx="581">
                  <c:v/>
                </c:pt>
                <c:pt idx="582">
                  <c:v/>
                </c:pt>
                <c:pt idx="583">
                  <c:v/>
                </c:pt>
                <c:pt idx="584">
                  <c:v/>
                </c:pt>
                <c:pt idx="585">
                  <c:v/>
                </c:pt>
                <c:pt idx="586">
                  <c:v/>
                </c:pt>
                <c:pt idx="587">
                  <c:v/>
                </c:pt>
                <c:pt idx="588">
                  <c:v/>
                </c:pt>
                <c:pt idx="589">
                  <c:v/>
                </c:pt>
                <c:pt idx="590">
                  <c:v/>
                </c:pt>
                <c:pt idx="591">
                  <c:v/>
                </c:pt>
                <c:pt idx="592">
                  <c:v/>
                </c:pt>
                <c:pt idx="593">
                  <c:v/>
                </c:pt>
                <c:pt idx="594">
                  <c:v/>
                </c:pt>
                <c:pt idx="595">
                  <c:v/>
                </c:pt>
                <c:pt idx="596">
                  <c:v/>
                </c:pt>
                <c:pt idx="597">
                  <c:v/>
                </c:pt>
                <c:pt idx="598">
                  <c:v/>
                </c:pt>
                <c:pt idx="599">
                  <c:v/>
                </c:pt>
                <c:pt idx="600">
                  <c:v/>
                </c:pt>
                <c:pt idx="601">
                  <c:v/>
                </c:pt>
                <c:pt idx="602">
                  <c:v/>
                </c:pt>
                <c:pt idx="603">
                  <c:v/>
                </c:pt>
                <c:pt idx="604">
                  <c:v/>
                </c:pt>
                <c:pt idx="605">
                  <c:v/>
                </c:pt>
                <c:pt idx="606">
                  <c:v/>
                </c:pt>
                <c:pt idx="607">
                  <c:v/>
                </c:pt>
                <c:pt idx="608">
                  <c:v/>
                </c:pt>
                <c:pt idx="609">
                  <c:v/>
                </c:pt>
                <c:pt idx="610">
                  <c:v/>
                </c:pt>
                <c:pt idx="611">
                  <c:v/>
                </c:pt>
                <c:pt idx="612">
                  <c:v/>
                </c:pt>
                <c:pt idx="613">
                  <c:v/>
                </c:pt>
                <c:pt idx="614">
                  <c:v/>
                </c:pt>
                <c:pt idx="615">
                  <c:v/>
                </c:pt>
                <c:pt idx="616">
                  <c:v/>
                </c:pt>
                <c:pt idx="617">
                  <c:v/>
                </c:pt>
                <c:pt idx="618">
                  <c:v/>
                </c:pt>
                <c:pt idx="619">
                  <c:v/>
                </c:pt>
                <c:pt idx="620">
                  <c:v/>
                </c:pt>
                <c:pt idx="621">
                  <c:v/>
                </c:pt>
                <c:pt idx="622">
                  <c:v/>
                </c:pt>
                <c:pt idx="623">
                  <c:v/>
                </c:pt>
                <c:pt idx="624">
                  <c:v/>
                </c:pt>
                <c:pt idx="625">
                  <c:v/>
                </c:pt>
                <c:pt idx="626">
                  <c:v/>
                </c:pt>
                <c:pt idx="627">
                  <c:v/>
                </c:pt>
                <c:pt idx="628">
                  <c:v/>
                </c:pt>
                <c:pt idx="629">
                  <c:v/>
                </c:pt>
                <c:pt idx="630">
                  <c:v/>
                </c:pt>
                <c:pt idx="631">
                  <c:v/>
                </c:pt>
                <c:pt idx="632">
                  <c:v/>
                </c:pt>
                <c:pt idx="633">
                  <c:v/>
                </c:pt>
                <c:pt idx="634">
                  <c:v/>
                </c:pt>
                <c:pt idx="635">
                  <c:v/>
                </c:pt>
                <c:pt idx="636">
                  <c:v/>
                </c:pt>
                <c:pt idx="637">
                  <c:v/>
                </c:pt>
                <c:pt idx="638">
                  <c:v/>
                </c:pt>
                <c:pt idx="639">
                  <c:v/>
                </c:pt>
                <c:pt idx="640">
                  <c:v/>
                </c:pt>
                <c:pt idx="641">
                  <c:v/>
                </c:pt>
                <c:pt idx="642">
                  <c:v/>
                </c:pt>
                <c:pt idx="643">
                  <c:v/>
                </c:pt>
                <c:pt idx="644">
                  <c:v/>
                </c:pt>
                <c:pt idx="645">
                  <c:v/>
                </c:pt>
                <c:pt idx="646">
                  <c:v/>
                </c:pt>
                <c:pt idx="647">
                  <c:v/>
                </c:pt>
                <c:pt idx="648">
                  <c:v/>
                </c:pt>
                <c:pt idx="649">
                  <c:v/>
                </c:pt>
                <c:pt idx="650">
                  <c:v/>
                </c:pt>
                <c:pt idx="651">
                  <c:v/>
                </c:pt>
                <c:pt idx="652">
                  <c:v/>
                </c:pt>
                <c:pt idx="653">
                  <c:v/>
                </c:pt>
                <c:pt idx="654">
                  <c:v/>
                </c:pt>
                <c:pt idx="655">
                  <c:v/>
                </c:pt>
                <c:pt idx="656">
                  <c:v/>
                </c:pt>
                <c:pt idx="657">
                  <c:v/>
                </c:pt>
                <c:pt idx="658">
                  <c:v/>
                </c:pt>
                <c:pt idx="659">
                  <c:v/>
                </c:pt>
                <c:pt idx="660">
                  <c:v/>
                </c:pt>
                <c:pt idx="661">
                  <c:v/>
                </c:pt>
                <c:pt idx="662">
                  <c:v/>
                </c:pt>
                <c:pt idx="663">
                  <c:v/>
                </c:pt>
                <c:pt idx="664">
                  <c:v/>
                </c:pt>
                <c:pt idx="665">
                  <c:v/>
                </c:pt>
                <c:pt idx="666">
                  <c:v/>
                </c:pt>
                <c:pt idx="667">
                  <c:v/>
                </c:pt>
                <c:pt idx="668">
                  <c:v/>
                </c:pt>
                <c:pt idx="669">
                  <c:v/>
                </c:pt>
                <c:pt idx="670">
                  <c:v/>
                </c:pt>
                <c:pt idx="671">
                  <c:v/>
                </c:pt>
                <c:pt idx="672">
                  <c:v/>
                </c:pt>
                <c:pt idx="673">
                  <c:v/>
                </c:pt>
                <c:pt idx="674">
                  <c:v/>
                </c:pt>
                <c:pt idx="675">
                  <c:v/>
                </c:pt>
                <c:pt idx="676">
                  <c:v/>
                </c:pt>
                <c:pt idx="677">
                  <c:v/>
                </c:pt>
                <c:pt idx="678">
                  <c:v/>
                </c:pt>
                <c:pt idx="679">
                  <c:v/>
                </c:pt>
                <c:pt idx="680">
                  <c:v/>
                </c:pt>
                <c:pt idx="681">
                  <c:v/>
                </c:pt>
                <c:pt idx="682">
                  <c:v/>
                </c:pt>
                <c:pt idx="683">
                  <c:v/>
                </c:pt>
                <c:pt idx="684">
                  <c:v/>
                </c:pt>
                <c:pt idx="685">
                  <c:v/>
                </c:pt>
                <c:pt idx="686">
                  <c:v/>
                </c:pt>
                <c:pt idx="687">
                  <c:v/>
                </c:pt>
                <c:pt idx="688">
                  <c:v/>
                </c:pt>
                <c:pt idx="689">
                  <c:v/>
                </c:pt>
                <c:pt idx="690">
                  <c:v/>
                </c:pt>
                <c:pt idx="691">
                  <c:v/>
                </c:pt>
                <c:pt idx="692">
                  <c:v/>
                </c:pt>
                <c:pt idx="693">
                  <c:v/>
                </c:pt>
                <c:pt idx="694">
                  <c:v/>
                </c:pt>
                <c:pt idx="695">
                  <c:v/>
                </c:pt>
                <c:pt idx="696">
                  <c:v/>
                </c:pt>
                <c:pt idx="697">
                  <c:v/>
                </c:pt>
                <c:pt idx="698">
                  <c:v/>
                </c:pt>
                <c:pt idx="699">
                  <c:v/>
                </c:pt>
              </c:strCache>
            </c:strRef>
          </c:cat>
          <c:smooth val="0"/>
        </c:ser>
        <c:hiLowLines>
          <c:spPr>
            <a:ln w="0">
              <a:noFill/>
            </a:ln>
          </c:spPr>
        </c:hiLowLines>
        <c:marker val="1"/>
        <c:axId val="70366868"/>
        <c:axId val="21528910"/>
      </c:lineChart>
      <c:catAx>
        <c:axId val="70366868"/>
        <c:scaling>
          <c:orientation val="minMax"/>
        </c:scaling>
        <c:delete val="0"/>
        <c:axPos val="b"/>
        <c:numFmt formatCode="00.0&quot;   &quot;" sourceLinked="0"/>
        <c:majorTickMark val="out"/>
        <c:minorTickMark val="none"/>
        <c:tickLblPos val="low"/>
        <c:spPr>
          <a:ln w="0">
            <a:noFill/>
          </a:ln>
        </c:spPr>
        <c:txPr>
          <a:bodyPr/>
          <a:lstStyle/>
          <a:p>
            <a:pPr>
              <a:defRPr sz="1000" b="0" u="none" strike="noStrike">
                <a:solidFill>
                  <a:srgbClr val="000000"/>
                </a:solidFill>
                <a:uFillTx/>
                <a:latin typeface="Arial"/>
                <a:ea typeface="DejaVu Sans"/>
              </a:defRPr>
            </a:pPr>
          </a:p>
        </c:txPr>
        <c:crossAx val="21528910"/>
        <c:crosses val="min"/>
        <c:auto val="1"/>
        <c:lblAlgn val="ctr"/>
        <c:lblOffset val="100"/>
        <c:noMultiLvlLbl val="0"/>
      </c:catAx>
      <c:valAx>
        <c:axId val="21528910"/>
        <c:scaling>
          <c:orientation val="minMax"/>
        </c:scaling>
        <c:delete val="0"/>
        <c:axPos val="l"/>
        <c:majorGridlines>
          <c:spPr>
            <a:ln w="0">
              <a:solidFill>
                <a:srgbClr val="b3b3b3"/>
              </a:solidFill>
            </a:ln>
          </c:spPr>
        </c:majorGridlines>
        <c:numFmt formatCode="#,##0.00" sourceLinked="0"/>
        <c:majorTickMark val="out"/>
        <c:minorTickMark val="none"/>
        <c:tickLblPos val="nextTo"/>
        <c:spPr>
          <a:ln w="0">
            <a:solidFill>
              <a:srgbClr val="b3b3b3">
                <a:alpha val="60000"/>
              </a:srgbClr>
            </a:solidFill>
          </a:ln>
        </c:spPr>
        <c:txPr>
          <a:bodyPr/>
          <a:lstStyle/>
          <a:p>
            <a:pPr>
              <a:defRPr sz="1000" b="0" u="none" strike="noStrike">
                <a:solidFill>
                  <a:srgbClr val="000000"/>
                </a:solidFill>
                <a:uFillTx/>
                <a:latin typeface="Arial"/>
                <a:ea typeface="DejaVu Sans"/>
              </a:defRPr>
            </a:pPr>
          </a:p>
        </c:txPr>
        <c:crossAx val="70366868"/>
        <c:crossesAt val="1"/>
        <c:crossBetween val="between"/>
      </c:valAx>
      <c:spPr>
        <a:noFill/>
        <a:ln cap="rnd" w="0">
          <a:solidFill>
            <a:srgbClr val="000000"/>
          </a:solidFill>
          <a:prstDash val="dash"/>
        </a:ln>
      </c:spPr>
    </c:plotArea>
    <c:plotVisOnly val="1"/>
    <c:dispBlanksAs val="zero"/>
  </c:chart>
  <c:spPr>
    <a:solidFill>
      <a:srgbClr val="e0c2cd"/>
    </a:solidFill>
    <a:ln w="0">
      <a:solidFill>
        <a:srgbClr val="a1467e"/>
      </a:solidFill>
      <a:prstDash val="sysDash"/>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sz="1300" b="0" u="none" strike="noStrike">
                <a:uFillTx/>
                <a:latin typeface="Arial"/>
              </a:defRPr>
            </a:pPr>
            <a:r>
              <a:rPr sz="1300" b="0" u="none" strike="noStrike">
                <a:solidFill>
                  <a:srgbClr val="000000"/>
                </a:solidFill>
                <a:uFillTx/>
                <a:latin typeface="Arial"/>
                <a:ea typeface="DejaVu Sans"/>
              </a:rPr>
              <a:t>Income source %</a:t>
            </a:r>
          </a:p>
        </c:rich>
      </c:tx>
      <c:layout>
        <c:manualLayout>
          <c:xMode val="edge"/>
          <c:yMode val="edge"/>
          <c:x val="0.29498287326214"/>
          <c:y val="0.262065516379095"/>
        </c:manualLayout>
      </c:layout>
      <c:overlay val="0"/>
      <c:spPr>
        <a:noFill/>
        <a:ln w="0">
          <a:noFill/>
        </a:ln>
      </c:spPr>
    </c:title>
    <c:autoTitleDeleted val="0"/>
    <c:plotArea>
      <c:layout>
        <c:manualLayout>
          <c:layoutTarget val="inner"/>
          <c:xMode val="edge"/>
          <c:yMode val="edge"/>
          <c:x val="0.0723352810799919"/>
          <c:y val="0.346003167458531"/>
          <c:w val="0.799113439451944"/>
          <c:h val="0.648995582228891"/>
        </c:manualLayout>
      </c:layout>
      <c:pieChart>
        <c:varyColors val="1"/>
        <c:ser>
          <c:idx val="0"/>
          <c:order val="0"/>
          <c:spPr>
            <a:solidFill>
              <a:srgbClr val="004586"/>
            </a:solidFill>
            <a:ln w="0">
              <a:noFill/>
            </a:ln>
          </c:spPr>
          <c:explosion val="0"/>
          <c:dPt>
            <c:idx val="0"/>
            <c:spPr>
              <a:solidFill>
                <a:srgbClr val="004586"/>
              </a:solidFill>
              <a:ln w="0">
                <a:noFill/>
              </a:ln>
            </c:spPr>
          </c:dPt>
          <c:dPt>
            <c:idx val="1"/>
            <c:spPr>
              <a:solidFill>
                <a:srgbClr val="ff420e"/>
              </a:solidFill>
              <a:ln w="0">
                <a:noFill/>
              </a:ln>
            </c:spPr>
          </c:dPt>
          <c:dPt>
            <c:idx val="2"/>
            <c:spPr>
              <a:solidFill>
                <a:srgbClr val="ffd320"/>
              </a:solidFill>
              <a:ln w="0">
                <a:noFill/>
              </a:ln>
            </c:spPr>
          </c:dPt>
          <c:dPt>
            <c:idx val="3"/>
            <c:spPr>
              <a:solidFill>
                <a:srgbClr val="579d1c"/>
              </a:solidFill>
              <a:ln w="0">
                <a:noFill/>
              </a:ln>
            </c:spPr>
          </c:dPt>
          <c:dPt>
            <c:idx val="4"/>
            <c:spPr>
              <a:solidFill>
                <a:srgbClr val="7e0021"/>
              </a:solidFill>
              <a:ln w="0">
                <a:noFill/>
              </a:ln>
            </c:spPr>
          </c:dPt>
          <c:dPt>
            <c:idx val="5"/>
            <c:spPr>
              <a:solidFill>
                <a:srgbClr val="83caff"/>
              </a:solidFill>
              <a:ln w="0">
                <a:noFill/>
              </a:ln>
            </c:spPr>
          </c:dPt>
          <c:dPt>
            <c:idx val="6"/>
            <c:spPr>
              <a:solidFill>
                <a:srgbClr val="314004"/>
              </a:solidFill>
              <a:ln w="0">
                <a:noFill/>
              </a:ln>
            </c:spPr>
          </c:dPt>
          <c:dPt>
            <c:idx val="7"/>
            <c:spPr>
              <a:solidFill>
                <a:srgbClr val="aecf00"/>
              </a:solidFill>
              <a:ln w="0">
                <a:noFill/>
              </a:ln>
            </c:spPr>
          </c:dPt>
          <c:dPt>
            <c:idx val="8"/>
            <c:spPr>
              <a:solidFill>
                <a:srgbClr val="4b1f6f"/>
              </a:solidFill>
              <a:ln w="0">
                <a:noFill/>
              </a:ln>
            </c:spPr>
          </c:dPt>
          <c:dPt>
            <c:idx val="9"/>
            <c:spPr>
              <a:solidFill>
                <a:srgbClr val="ff950e"/>
              </a:solidFill>
              <a:ln w="0">
                <a:noFill/>
              </a:ln>
            </c:spPr>
          </c:dPt>
          <c:dPt>
            <c:idx val="10"/>
            <c:spPr>
              <a:solidFill>
                <a:srgbClr val="c5000b"/>
              </a:solidFill>
              <a:ln w="0">
                <a:noFill/>
              </a:ln>
            </c:spPr>
          </c:dPt>
          <c:dLbls>
            <c:dLbl>
              <c:idx val="0"/>
              <c:txPr>
                <a:bodyPr wrap="none"/>
                <a:lstStyle/>
                <a:p>
                  <a:pPr>
                    <a:defRPr sz="1000" b="0" u="none" strike="noStrike">
                      <a:solidFill>
                        <a:srgbClr val="000000"/>
                      </a:solidFill>
                      <a:uFillTx/>
                      <a:latin typeface="Arial"/>
                    </a:defRPr>
                  </a:pPr>
                </a:p>
              </c:txPr>
              <c:dLblPos val="bestFit"/>
              <c:showLegendKey val="0"/>
              <c:showVal val="0"/>
              <c:showCatName val="1"/>
              <c:showSerName val="0"/>
              <c:showPercent val="1"/>
              <c:separator> </c:separator>
            </c:dLbl>
            <c:dLbl>
              <c:idx val="1"/>
              <c:txPr>
                <a:bodyPr wrap="none"/>
                <a:lstStyle/>
                <a:p>
                  <a:pPr>
                    <a:defRPr sz="1000" b="0" u="none" strike="noStrike">
                      <a:solidFill>
                        <a:srgbClr val="000000"/>
                      </a:solidFill>
                      <a:uFillTx/>
                      <a:latin typeface="Arial"/>
                    </a:defRPr>
                  </a:pPr>
                </a:p>
              </c:txPr>
              <c:dLblPos val="bestFit"/>
              <c:showLegendKey val="0"/>
              <c:showVal val="0"/>
              <c:showCatName val="1"/>
              <c:showSerName val="0"/>
              <c:showPercent val="1"/>
              <c:separator> </c:separator>
            </c:dLbl>
            <c:dLbl>
              <c:idx val="2"/>
              <c:txPr>
                <a:bodyPr wrap="none"/>
                <a:lstStyle/>
                <a:p>
                  <a:pPr>
                    <a:defRPr sz="1000" b="0" u="none" strike="noStrike">
                      <a:solidFill>
                        <a:srgbClr val="000000"/>
                      </a:solidFill>
                      <a:uFillTx/>
                      <a:latin typeface="Arial"/>
                    </a:defRPr>
                  </a:pPr>
                </a:p>
              </c:txPr>
              <c:dLblPos val="bestFit"/>
              <c:showLegendKey val="0"/>
              <c:showVal val="0"/>
              <c:showCatName val="1"/>
              <c:showSerName val="0"/>
              <c:showPercent val="1"/>
              <c:separator> </c:separator>
            </c:dLbl>
            <c:dLbl>
              <c:idx val="3"/>
              <c:txPr>
                <a:bodyPr wrap="none"/>
                <a:lstStyle/>
                <a:p>
                  <a:pPr>
                    <a:defRPr sz="1000" b="0" u="none" strike="noStrike">
                      <a:solidFill>
                        <a:srgbClr val="000000"/>
                      </a:solidFill>
                      <a:uFillTx/>
                      <a:latin typeface="Arial"/>
                    </a:defRPr>
                  </a:pPr>
                </a:p>
              </c:txPr>
              <c:dLblPos val="bestFit"/>
              <c:showLegendKey val="0"/>
              <c:showVal val="0"/>
              <c:showCatName val="1"/>
              <c:showSerName val="0"/>
              <c:showPercent val="1"/>
              <c:separator> </c:separator>
            </c:dLbl>
            <c:dLbl>
              <c:idx val="4"/>
              <c:txPr>
                <a:bodyPr wrap="none"/>
                <a:lstStyle/>
                <a:p>
                  <a:pPr>
                    <a:defRPr sz="1000" b="0" u="none" strike="noStrike">
                      <a:solidFill>
                        <a:srgbClr val="000000"/>
                      </a:solidFill>
                      <a:uFillTx/>
                      <a:latin typeface="Arial"/>
                    </a:defRPr>
                  </a:pPr>
                </a:p>
              </c:txPr>
              <c:dLblPos val="bestFit"/>
              <c:showLegendKey val="0"/>
              <c:showVal val="0"/>
              <c:showCatName val="1"/>
              <c:showSerName val="0"/>
              <c:showPercent val="1"/>
              <c:separator> </c:separator>
            </c:dLbl>
            <c:dLbl>
              <c:idx val="5"/>
              <c:txPr>
                <a:bodyPr wrap="none"/>
                <a:lstStyle/>
                <a:p>
                  <a:pPr>
                    <a:defRPr sz="1000" b="0" u="none" strike="noStrike">
                      <a:solidFill>
                        <a:srgbClr val="000000"/>
                      </a:solidFill>
                      <a:uFillTx/>
                      <a:latin typeface="Arial"/>
                    </a:defRPr>
                  </a:pPr>
                </a:p>
              </c:txPr>
              <c:dLblPos val="bestFit"/>
              <c:showLegendKey val="0"/>
              <c:showVal val="0"/>
              <c:showCatName val="1"/>
              <c:showSerName val="0"/>
              <c:showPercent val="1"/>
              <c:separator> </c:separator>
            </c:dLbl>
            <c:dLbl>
              <c:idx val="6"/>
              <c:txPr>
                <a:bodyPr wrap="none"/>
                <a:lstStyle/>
                <a:p>
                  <a:pPr>
                    <a:defRPr sz="1000" b="0" u="none" strike="noStrike">
                      <a:solidFill>
                        <a:srgbClr val="000000"/>
                      </a:solidFill>
                      <a:uFillTx/>
                      <a:latin typeface="Arial"/>
                    </a:defRPr>
                  </a:pPr>
                </a:p>
              </c:txPr>
              <c:dLblPos val="bestFit"/>
              <c:showLegendKey val="0"/>
              <c:showVal val="0"/>
              <c:showCatName val="1"/>
              <c:showSerName val="0"/>
              <c:showPercent val="1"/>
              <c:separator> </c:separator>
            </c:dLbl>
            <c:dLbl>
              <c:idx val="7"/>
              <c:txPr>
                <a:bodyPr wrap="none"/>
                <a:lstStyle/>
                <a:p>
                  <a:pPr>
                    <a:defRPr sz="1000" b="0" u="none" strike="noStrike">
                      <a:solidFill>
                        <a:srgbClr val="000000"/>
                      </a:solidFill>
                      <a:uFillTx/>
                      <a:latin typeface="Arial"/>
                    </a:defRPr>
                  </a:pPr>
                </a:p>
              </c:txPr>
              <c:dLblPos val="bestFit"/>
              <c:showLegendKey val="0"/>
              <c:showVal val="0"/>
              <c:showCatName val="1"/>
              <c:showSerName val="0"/>
              <c:showPercent val="1"/>
              <c:separator> </c:separator>
            </c:dLbl>
            <c:dLbl>
              <c:idx val="8"/>
              <c:txPr>
                <a:bodyPr wrap="none"/>
                <a:lstStyle/>
                <a:p>
                  <a:pPr>
                    <a:defRPr sz="1000" b="0" u="none" strike="noStrike">
                      <a:solidFill>
                        <a:srgbClr val="000000"/>
                      </a:solidFill>
                      <a:uFillTx/>
                      <a:latin typeface="Arial"/>
                    </a:defRPr>
                  </a:pPr>
                </a:p>
              </c:txPr>
              <c:dLblPos val="bestFit"/>
              <c:showLegendKey val="0"/>
              <c:showVal val="0"/>
              <c:showCatName val="1"/>
              <c:showSerName val="0"/>
              <c:showPercent val="1"/>
              <c:separator> </c:separator>
            </c:dLbl>
            <c:dLbl>
              <c:idx val="9"/>
              <c:txPr>
                <a:bodyPr wrap="none"/>
                <a:lstStyle/>
                <a:p>
                  <a:pPr>
                    <a:defRPr sz="1000" b="0" u="none" strike="noStrike">
                      <a:solidFill>
                        <a:srgbClr val="000000"/>
                      </a:solidFill>
                      <a:uFillTx/>
                      <a:latin typeface="Arial"/>
                    </a:defRPr>
                  </a:pPr>
                </a:p>
              </c:txPr>
              <c:dLblPos val="bestFit"/>
              <c:showLegendKey val="0"/>
              <c:showVal val="0"/>
              <c:showCatName val="1"/>
              <c:showSerName val="0"/>
              <c:showPercent val="1"/>
              <c:separator> </c:separator>
            </c:dLbl>
            <c:dLbl>
              <c:idx val="10"/>
              <c:txPr>
                <a:bodyPr wrap="none"/>
                <a:lstStyle/>
                <a:p>
                  <a:pPr>
                    <a:defRPr sz="1000" b="0" u="none" strike="noStrike">
                      <a:solidFill>
                        <a:srgbClr val="000000"/>
                      </a:solidFill>
                      <a:uFillTx/>
                      <a:latin typeface="Arial"/>
                    </a:defRPr>
                  </a:pPr>
                </a:p>
              </c:txPr>
              <c:dLblPos val="bestFit"/>
              <c:showLegendKey val="0"/>
              <c:showVal val="0"/>
              <c:showCatName val="1"/>
              <c:showSerName val="0"/>
              <c:showPercent val="1"/>
              <c:separator> </c:separator>
            </c:dLbl>
            <c:txPr>
              <a:bodyPr wrap="none"/>
              <a:lstStyle/>
              <a:p>
                <a:pPr>
                  <a:defRPr sz="1000" b="0" u="none" strike="noStrike">
                    <a:solidFill>
                      <a:srgbClr val="000000"/>
                    </a:solidFill>
                    <a:uFillTx/>
                    <a:latin typeface="Arial"/>
                    <a:ea typeface="DejaVu Sans"/>
                  </a:defRPr>
                </a:pPr>
              </a:p>
            </c:txPr>
            <c:dLblPos val="bestFit"/>
            <c:showLegendKey val="0"/>
            <c:showVal val="0"/>
            <c:showCatName val="1"/>
            <c:showSerName val="0"/>
            <c:showPercent val="1"/>
            <c:separator> </c:separator>
            <c:showLeaderLines val="1"/>
            <c:leaderLines>
              <c:spPr>
                <a:ln w="0">
                  <a:solidFill>
                    <a:srgbClr val="000000"/>
                  </a:solidFill>
                </a:ln>
              </c:spPr>
            </c:leaderLines>
          </c:dLbls>
          <c:cat>
            <c:strRef>
              <c:f>Worksheet!$Q$59:$Q$69</c:f>
              <c:strCache>
                <c:ptCount val="11"/>
                <c:pt idx="0">
                  <c:v>Stocks</c:v>
                </c:pt>
                <c:pt idx="1">
                  <c:v>SS Income</c:v>
                </c:pt>
                <c:pt idx="2">
                  <c:v>Work Income</c:v>
                </c:pt>
                <c:pt idx="3">
                  <c:v>Spouse SS inc</c:v>
                </c:pt>
                <c:pt idx="4">
                  <c:v>Spouse wk inc</c:v>
                </c:pt>
                <c:pt idx="5">
                  <c:v>Annuities</c:v>
                </c:pt>
                <c:pt idx="6">
                  <c:v>Dividends</c:v>
                </c:pt>
                <c:pt idx="7">
                  <c:v>Wife’s 401k</c:v>
                </c:pt>
                <c:pt idx="8">
                  <c:v>Wife Annuity</c:v>
                </c:pt>
                <c:pt idx="9">
                  <c:v>Bonds Interest</c:v>
                </c:pt>
                <c:pt idx="10">
                  <c:v/>
                </c:pt>
              </c:strCache>
            </c:strRef>
          </c:cat>
          <c:val>
            <c:numRef>
              <c:f>Worksheet!$Q$48:$Q$58</c:f>
              <c:numCache>
                <c:formatCode>[$$-409]#,##0.00;[RED]\-[$$-409]#,##0.00</c:formatCode>
                <c:ptCount val="11"/>
                <c:pt idx="0">
                  <c:v>206.55</c:v>
                </c:pt>
                <c:pt idx="1">
                  <c:v>0</c:v>
                </c:pt>
                <c:pt idx="2">
                  <c:v>0</c:v>
                </c:pt>
                <c:pt idx="3">
                  <c:v>0</c:v>
                </c:pt>
                <c:pt idx="4">
                  <c:v>0</c:v>
                </c:pt>
                <c:pt idx="7">
                  <c:v>0</c:v>
                </c:pt>
                <c:pt idx="8">
                  <c:v>0</c:v>
                </c:pt>
                <c:pt idx="9">
                  <c:v>0</c:v>
                </c:pt>
                <c:pt idx="10">
                  <c:v>0</c:v>
                </c:pt>
              </c:numCache>
            </c:numRef>
          </c:val>
        </c:ser>
        <c:firstSliceAng val="0"/>
      </c:pieChart>
      <c:spPr>
        <a:noFill/>
        <a:ln w="0">
          <a:noFill/>
        </a:ln>
      </c:spPr>
    </c:plotArea>
    <c:legend>
      <c:legendPos val="r"/>
      <c:layout>
        <c:manualLayout>
          <c:xMode val="edge"/>
          <c:yMode val="edge"/>
          <c:x val="0.0164215192423937"/>
          <c:y val="0"/>
          <c:w val="0.971385390428212"/>
          <c:h val="0.260253417805935"/>
        </c:manualLayout>
      </c:layout>
      <c:overlay val="0"/>
      <c:spPr>
        <a:noFill/>
        <a:ln w="0">
          <a:noFill/>
        </a:ln>
      </c:spPr>
      <c:txPr>
        <a:bodyPr/>
        <a:lstStyle/>
        <a:p>
          <a:pPr>
            <a:defRPr sz="1000" b="0" u="none" strike="noStrike">
              <a:solidFill>
                <a:srgbClr val="000000"/>
              </a:solidFill>
              <a:uFillTx/>
              <a:latin typeface="Arial"/>
              <a:ea typeface="DejaVu Sans"/>
            </a:defRPr>
          </a:pPr>
        </a:p>
      </c:txPr>
    </c:legend>
    <c:plotVisOnly val="1"/>
    <c:dispBlanksAs val="zero"/>
  </c:chart>
  <c:spPr>
    <a:solidFill>
      <a:srgbClr val="e0c2cd"/>
    </a:solidFill>
    <a:ln w="0">
      <a:solidFill>
        <a:srgbClr val="000000"/>
      </a:solidFill>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barChart>
        <c:barDir val="col"/>
        <c:grouping val="clustered"/>
        <c:varyColors val="0"/>
        <c:ser>
          <c:idx val="0"/>
          <c:order val="0"/>
          <c:spPr>
            <a:solidFill>
              <a:srgbClr val="004586"/>
            </a:solidFill>
            <a:ln w="0">
              <a:noFill/>
            </a:ln>
          </c:spPr>
          <c:invertIfNegative val="0"/>
          <c:dLbls>
            <c:txPr>
              <a:bodyPr wrap="none"/>
              <a:lstStyle/>
              <a:p>
                <a:pPr>
                  <a:defRPr sz="1000" b="0" u="none" strike="noStrike">
                    <a:solidFill>
                      <a:srgbClr val="000000"/>
                    </a:solidFill>
                    <a:uFillTx/>
                    <a:latin typeface="Arial"/>
                    <a:ea typeface="DejaVu Sans"/>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'Bond ladder Form'!$B$23:$B$34</c:f>
              <c:strCache>
                <c:ptCount val="12"/>
                <c:pt idx="0">
                  <c:v>$1,031.25</c:v>
                </c:pt>
                <c:pt idx="1">
                  <c:v>$3,906.25</c:v>
                </c:pt>
                <c:pt idx="2">
                  <c:v>$0.00</c:v>
                </c:pt>
                <c:pt idx="3">
                  <c:v>$1,031.25</c:v>
                </c:pt>
                <c:pt idx="4">
                  <c:v>$4,093.75</c:v>
                </c:pt>
                <c:pt idx="5">
                  <c:v>$1,000.00</c:v>
                </c:pt>
                <c:pt idx="6">
                  <c:v>$1,031.25</c:v>
                </c:pt>
                <c:pt idx="7">
                  <c:v>$3,906.25</c:v>
                </c:pt>
                <c:pt idx="8">
                  <c:v>$0.00</c:v>
                </c:pt>
                <c:pt idx="9">
                  <c:v>$1,031.25</c:v>
                </c:pt>
                <c:pt idx="10">
                  <c:v>$4,093.75</c:v>
                </c:pt>
                <c:pt idx="11">
                  <c:v>$3,850.00</c:v>
                </c:pt>
              </c:strCache>
            </c:strRef>
          </c:cat>
          <c:val>
            <c:numRef>
              <c:f>'Bond ladder Form'!$B$23:$B$34</c:f>
              <c:numCache>
                <c:formatCode>[$$-409]#,##0.00;[RED]\-[$$-409]#,##0.00</c:formatCode>
                <c:ptCount val="12"/>
                <c:pt idx="0">
                  <c:v>1031.25</c:v>
                </c:pt>
                <c:pt idx="1">
                  <c:v>3906.25</c:v>
                </c:pt>
                <c:pt idx="2">
                  <c:v>0</c:v>
                </c:pt>
                <c:pt idx="3">
                  <c:v>1031.25</c:v>
                </c:pt>
                <c:pt idx="4">
                  <c:v>4093.75</c:v>
                </c:pt>
                <c:pt idx="5">
                  <c:v>1000</c:v>
                </c:pt>
                <c:pt idx="6">
                  <c:v>1031.25</c:v>
                </c:pt>
                <c:pt idx="7">
                  <c:v>3906.25</c:v>
                </c:pt>
                <c:pt idx="8">
                  <c:v>0</c:v>
                </c:pt>
                <c:pt idx="9">
                  <c:v>1031.25</c:v>
                </c:pt>
                <c:pt idx="10">
                  <c:v>4093.75</c:v>
                </c:pt>
                <c:pt idx="11">
                  <c:v>3850</c:v>
                </c:pt>
              </c:numCache>
            </c:numRef>
          </c:val>
        </c:ser>
        <c:gapWidth val="100"/>
        <c:overlap val="0"/>
        <c:axId val="93540806"/>
        <c:axId val="49396786"/>
      </c:barChart>
      <c:catAx>
        <c:axId val="93540806"/>
        <c:scaling>
          <c:orientation val="minMax"/>
        </c:scaling>
        <c:delete val="0"/>
        <c:axPos val="b"/>
        <c:numFmt formatCode="[$$-409]#,##0.00;[RED]\-[$$-409]#,##0.00" sourceLinked="0"/>
        <c:majorTickMark val="out"/>
        <c:minorTickMark val="none"/>
        <c:tickLblPos val="nextTo"/>
        <c:spPr>
          <a:ln w="0">
            <a:solidFill>
              <a:srgbClr val="b3b3b3"/>
            </a:solidFill>
          </a:ln>
        </c:spPr>
        <c:txPr>
          <a:bodyPr/>
          <a:lstStyle/>
          <a:p>
            <a:pPr>
              <a:defRPr sz="1000" b="0" u="none" strike="noStrike">
                <a:solidFill>
                  <a:srgbClr val="000000"/>
                </a:solidFill>
                <a:uFillTx/>
                <a:latin typeface="Arial"/>
                <a:ea typeface="DejaVu Sans"/>
              </a:defRPr>
            </a:pPr>
          </a:p>
        </c:txPr>
        <c:crossAx val="49396786"/>
        <c:crosses val="autoZero"/>
        <c:auto val="1"/>
        <c:lblAlgn val="ctr"/>
        <c:lblOffset val="100"/>
        <c:noMultiLvlLbl val="0"/>
      </c:catAx>
      <c:valAx>
        <c:axId val="49396786"/>
        <c:scaling>
          <c:orientation val="minMax"/>
        </c:scaling>
        <c:delete val="0"/>
        <c:axPos val="l"/>
        <c:majorGridlines>
          <c:spPr>
            <a:ln w="0">
              <a:solidFill>
                <a:srgbClr val="b3b3b3"/>
              </a:solidFill>
            </a:ln>
          </c:spPr>
        </c:majorGridlines>
        <c:numFmt formatCode="[$$-409]#,##0.00;[RED]\-[$$-409]#,##0.00" sourceLinked="0"/>
        <c:majorTickMark val="out"/>
        <c:minorTickMark val="none"/>
        <c:tickLblPos val="nextTo"/>
        <c:spPr>
          <a:ln w="0">
            <a:solidFill>
              <a:srgbClr val="b3b3b3"/>
            </a:solidFill>
          </a:ln>
        </c:spPr>
        <c:txPr>
          <a:bodyPr/>
          <a:lstStyle/>
          <a:p>
            <a:pPr>
              <a:defRPr sz="1000" b="0" u="none" strike="noStrike">
                <a:solidFill>
                  <a:srgbClr val="000000"/>
                </a:solidFill>
                <a:uFillTx/>
                <a:latin typeface="Arial"/>
                <a:ea typeface="DejaVu Sans"/>
              </a:defRPr>
            </a:pPr>
          </a:p>
        </c:txPr>
        <c:crossAx val="93540806"/>
        <c:crosses val="autoZero"/>
        <c:crossBetween val="between"/>
      </c:valAx>
      <c:spPr>
        <a:noFill/>
        <a:ln w="0">
          <a:solidFill>
            <a:srgbClr val="b3b3b3"/>
          </a:solidFill>
        </a:ln>
      </c:spPr>
    </c:plotArea>
    <c:legend>
      <c:legendPos val="r"/>
      <c:overlay val="0"/>
      <c:spPr>
        <a:noFill/>
        <a:ln w="0">
          <a:noFill/>
        </a:ln>
      </c:spPr>
      <c:txPr>
        <a:bodyPr/>
        <a:lstStyle/>
        <a:p>
          <a:pPr>
            <a:defRPr sz="1000" b="0" u="none" strike="noStrike">
              <a:solidFill>
                <a:srgbClr val="000000"/>
              </a:solidFill>
              <a:uFillTx/>
              <a:latin typeface="Arial"/>
              <a:ea typeface="DejaVu Sans"/>
            </a:defRPr>
          </a:pPr>
        </a:p>
      </c:txPr>
    </c:legend>
    <c:plotVisOnly val="1"/>
    <c:dispBlanksAs val="gap"/>
  </c:chart>
  <c:spPr>
    <a:solidFill>
      <a:srgbClr val="ffffff"/>
    </a:solidFill>
    <a:ln w="0">
      <a:noFill/>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
</Relationships>
</file>

<file path=xl/drawings/_rels/drawing2.xml.rels><?xml version="1.0" encoding="UTF-8"?>
<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16</xdr:row>
      <xdr:rowOff>263160</xdr:rowOff>
    </xdr:from>
    <xdr:to>
      <xdr:col>11</xdr:col>
      <xdr:colOff>1252800</xdr:colOff>
      <xdr:row>24</xdr:row>
      <xdr:rowOff>384120</xdr:rowOff>
    </xdr:to>
    <xdr:graphicFrame>
      <xdr:nvGraphicFramePr>
        <xdr:cNvPr id="1" name=""/>
        <xdr:cNvGraphicFramePr/>
      </xdr:nvGraphicFramePr>
      <xdr:xfrm>
        <a:off x="3000240" y="4503600"/>
        <a:ext cx="6980040" cy="17658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3240</xdr:colOff>
      <xdr:row>25</xdr:row>
      <xdr:rowOff>316440</xdr:rowOff>
    </xdr:from>
    <xdr:to>
      <xdr:col>11</xdr:col>
      <xdr:colOff>1271160</xdr:colOff>
      <xdr:row>47</xdr:row>
      <xdr:rowOff>144360</xdr:rowOff>
    </xdr:to>
    <xdr:graphicFrame>
      <xdr:nvGraphicFramePr>
        <xdr:cNvPr id="2" name=""/>
        <xdr:cNvGraphicFramePr/>
      </xdr:nvGraphicFramePr>
      <xdr:xfrm>
        <a:off x="6425640" y="6591600"/>
        <a:ext cx="3573000" cy="43185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623160</xdr:colOff>
      <xdr:row>19</xdr:row>
      <xdr:rowOff>95400</xdr:rowOff>
    </xdr:from>
    <xdr:to>
      <xdr:col>8</xdr:col>
      <xdr:colOff>587880</xdr:colOff>
      <xdr:row>39</xdr:row>
      <xdr:rowOff>85680</xdr:rowOff>
    </xdr:to>
    <xdr:graphicFrame>
      <xdr:nvGraphicFramePr>
        <xdr:cNvPr id="3" name=""/>
        <xdr:cNvGraphicFramePr/>
      </xdr:nvGraphicFramePr>
      <xdr:xfrm>
        <a:off x="3123000" y="3184200"/>
        <a:ext cx="8190720" cy="32414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hyperlink" Target="https://www.ssa.gov/benefits/retirement/planner/whileworking.html" TargetMode="External"/><Relationship Id="rId3" Type="http://schemas.openxmlformats.org/officeDocument/2006/relationships/hyperlink" Target="https://www-origin.ssa.gov/benefits/retirement/planner/taxes.html" TargetMode="External"/><Relationship Id="rId4" Type="http://schemas.openxmlformats.org/officeDocument/2006/relationships/vmlDrawing" Target="../drawings/vmlDrawing1.vml"/>
</Relationships>
</file>

<file path=xl/worksheets/_rels/sheet5.xml.rels><?xml version="1.0" encoding="UTF-8"?>
<Relationships xmlns="http://schemas.openxmlformats.org/package/2006/relationships"><Relationship Id="rId1" Type="http://schemas.openxmlformats.org/officeDocument/2006/relationships/drawing" Target="../drawings/drawing2.xml"/>
</Relationships>
</file>

<file path=xl/worksheets/_rels/sheet6.xml.rels><?xml version="1.0" encoding="UTF-8"?>
<Relationships xmlns="http://schemas.openxmlformats.org/package/2006/relationships"><Relationship Id="rId1" Type="http://schemas.openxmlformats.org/officeDocument/2006/relationships/hyperlink" Target="https://www.bing.com/ck/a?!&amp;&amp;p=2707c56f2f444e3f299ef594aada903e6fee919c315a47c2b826bf1741354c28JmltdHM9MTc4NDQxOTIwMA&amp;ptn=3&amp;ver=2&amp;hsh=4&amp;fclid=0760f64b-f61e-6148-1900-e11af7d9605c&amp;u=a1aHR0cHM6Ly9zZWN1cmUuc3NhLmdvdi9wb21zLm5zZi9sbngvMDYwMTEwMTAyMA&amp;ntb=1" TargetMode="External"/><Relationship Id="rId2" Type="http://schemas.openxmlformats.org/officeDocument/2006/relationships/hyperlink" Target="https://www.bing.com/ck/a?!&amp;&amp;p=2707c56f2f444e3f299ef594aada903e6fee919c315a47c2b826bf1741354c28JmltdHM9MTc4NDQxOTIwMA&amp;ptn=3&amp;ver=2&amp;hsh=4&amp;fclid=0760f64b-f61e-6148-1900-e11af7d9605c&amp;u=a1aHR0cHM6Ly9zZWN1cmUuc3NhLmdvdi9wb21zLm5zZi9sbngvMDYwMTEwMTAyMA&amp;ntb=1"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R349"/>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C29" activeCellId="0" sqref="C29"/>
    </sheetView>
  </sheetViews>
  <sheetFormatPr defaultColWidth="11.53515625" defaultRowHeight="12.8" customHeight="true" zeroHeight="false" outlineLevelRow="0" outlineLevelCol="0"/>
  <cols>
    <col collapsed="false" customWidth="true" hidden="false" outlineLevel="0" max="1" min="1" style="1" width="17.56"/>
    <col collapsed="false" customWidth="true" hidden="false" outlineLevel="0" max="2" min="2" style="1" width="18.01"/>
    <col collapsed="false" customWidth="true" hidden="false" outlineLevel="0" max="3" min="3" style="1" width="19.17"/>
    <col collapsed="false" customWidth="true" hidden="false" outlineLevel="0" max="4" min="4" style="1" width="18.15"/>
    <col collapsed="false" customWidth="true" hidden="false" outlineLevel="0" max="5" min="5" style="1" width="21.23"/>
    <col collapsed="false" customWidth="true" hidden="false" outlineLevel="0" max="6" min="6" style="1" width="16.27"/>
    <col collapsed="false" customWidth="true" hidden="true" outlineLevel="0" max="7" min="7" style="2" width="9.81"/>
    <col collapsed="false" customWidth="true" hidden="true" outlineLevel="0" max="8" min="8" style="2" width="25.74"/>
    <col collapsed="false" customWidth="true" hidden="true" outlineLevel="0" max="9" min="9" style="2" width="18.22"/>
    <col collapsed="false" customWidth="true" hidden="true" outlineLevel="0" max="10" min="10" style="2" width="24.9"/>
    <col collapsed="false" customWidth="true" hidden="true" outlineLevel="0" max="11" min="11" style="2" width="15.58"/>
    <col collapsed="false" customWidth="true" hidden="true" outlineLevel="0" max="12" min="12" style="2" width="22.95"/>
    <col collapsed="false" customWidth="true" hidden="true" outlineLevel="0" max="13" min="13" style="2" width="22.4"/>
    <col collapsed="false" customWidth="true" hidden="false" outlineLevel="0" max="14" min="14" style="2" width="40.9"/>
    <col collapsed="false" customWidth="false" hidden="false" outlineLevel="0" max="18" min="15" style="2" width="11.53"/>
  </cols>
  <sheetData>
    <row r="1" customFormat="false" ht="83.25" hidden="false" customHeight="true" outlineLevel="0" collapsed="false">
      <c r="A1" s="3" t="s">
        <v>0</v>
      </c>
      <c r="B1" s="3"/>
      <c r="C1" s="3"/>
      <c r="D1" s="3"/>
      <c r="E1" s="3"/>
      <c r="F1" s="3"/>
      <c r="G1" s="4" t="e">
        <f aca="false">A21*A18</f>
        <v>#DIV/0!</v>
      </c>
      <c r="H1" s="2" t="n">
        <f aca="false">COUNTIF(K2:K240, "&gt;0")</f>
        <v>0</v>
      </c>
      <c r="I1" s="4" t="e">
        <f aca="false">A21</f>
        <v>#DIV/0!</v>
      </c>
      <c r="J1" s="2" t="e">
        <f aca="false">SUM(K1:K100 * A18 * (1 - A19)) - SUM((A17 * 12) * (1 + A16))</f>
        <v>#DIV/0!</v>
      </c>
      <c r="K1" s="4" t="e">
        <f aca="false">A21</f>
        <v>#DIV/0!</v>
      </c>
      <c r="L1" s="2" t="e">
        <f aca="false">SUM(K1:K100 * A18 * (1 - A19)) - SUM((A17 * 12) * (1 + A16))</f>
        <v>#DIV/0!</v>
      </c>
      <c r="M1" s="2" t="n">
        <f aca="false">SUM(B17*A19)+B17</f>
        <v>0</v>
      </c>
    </row>
    <row r="2" customFormat="false" ht="20.1" hidden="false" customHeight="true" outlineLevel="0" collapsed="false">
      <c r="A2" s="5" t="s">
        <v>1</v>
      </c>
      <c r="B2" s="5"/>
      <c r="C2" s="5"/>
      <c r="D2" s="5"/>
      <c r="E2" s="5"/>
      <c r="F2" s="5"/>
      <c r="G2" s="4" t="str">
        <f aca="false">IFERROR(IF(SUM(I2 * A$18)&lt;1,"",SUM(I2 * A$18)),"")</f>
        <v/>
      </c>
      <c r="I2" s="6" t="str">
        <f aca="false">IFERROR(IF(I1*(1+$A$18) - ($M$1) * (1+$A$16)^ROW()&lt;0,"",I1*(1+$A$18) - ($M$1) * (1+$A$16)^ROW()),"")</f>
        <v/>
      </c>
      <c r="K2" s="4" t="str">
        <f aca="false">IFERROR(IF(K1 * (1 + $A$18 * (1 - $A$19)) - (($A$17 * 12) * (1 + $A$16)) / (1 - $A$19)&lt;0,"",K1 * (1 + $A$18 * (1 - $A$19)) - (($A$17 * 12) * (1 + $A$16)) / (1 - $A$19)),"")</f>
        <v/>
      </c>
    </row>
    <row r="3" customFormat="false" ht="12.8" hidden="false" customHeight="true" outlineLevel="0" collapsed="false">
      <c r="A3" s="7" t="s">
        <v>2</v>
      </c>
      <c r="B3" s="7"/>
      <c r="C3" s="8" t="n">
        <v>0</v>
      </c>
      <c r="D3" s="9" t="s">
        <v>3</v>
      </c>
      <c r="E3" s="9"/>
      <c r="F3" s="9"/>
      <c r="G3" s="4" t="str">
        <f aca="false">IFERROR(IF(SUM(I3 * A$18)&lt;1,"",SUM(I3 * A$18)),"")</f>
        <v/>
      </c>
      <c r="I3" s="6" t="str">
        <f aca="false">IFERROR(IF(I2*(1+$A$18) - ($M$1) * (1+$A$16)^ROW()&lt;0,"",I2*(1+$A$18) - ($M$1) * (1+$A$16)^ROW()),"")</f>
        <v/>
      </c>
      <c r="K3" s="4" t="str">
        <f aca="false">IFERROR(IF(K2 * (1 + $A$18 * (1 - $A$19)) - (($A$17 * 12) * (1 + $A$16)) / (1 - $A$19)&lt;0,"",K2 * (1 + $A$18 * (1 - $A$19)) - (($A$17 * 12) * (1 + $A$16)) / (1 - $A$19)),"")</f>
        <v/>
      </c>
    </row>
    <row r="4" customFormat="false" ht="12.8" hidden="false" customHeight="false" outlineLevel="0" collapsed="false">
      <c r="A4" s="7" t="s">
        <v>4</v>
      </c>
      <c r="B4" s="7"/>
      <c r="C4" s="10" t="n">
        <v>25</v>
      </c>
      <c r="D4" s="9"/>
      <c r="E4" s="9"/>
      <c r="F4" s="9"/>
      <c r="G4" s="4" t="str">
        <f aca="false">IFERROR(IF(SUM(I4 * A$18)&lt;1,"",SUM(I4 * A$18)),"")</f>
        <v/>
      </c>
      <c r="I4" s="6" t="str">
        <f aca="false">IFERROR(IF(I3*(1+$A$18) - ($M$1) * (1+$A$16)^ROW()&lt;0,"",I3*(1+$A$18) - ($M$1) * (1+$A$16)^ROW()),"")</f>
        <v/>
      </c>
      <c r="K4" s="4" t="str">
        <f aca="false">IFERROR(IF(K3 * (1 + $A$18 * (1 - $A$19)) - (($A$17 * 12) * (1 + $A$16)) / (1 - $A$19)&lt;0,"",K3 * (1 + $A$18 * (1 - $A$19)) - (($A$17 * 12) * (1 + $A$16)) / (1 - $A$19)),"")</f>
        <v/>
      </c>
    </row>
    <row r="5" customFormat="false" ht="12.8" hidden="false" customHeight="false" outlineLevel="0" collapsed="false">
      <c r="A5" s="7" t="s">
        <v>5</v>
      </c>
      <c r="B5" s="7"/>
      <c r="C5" s="11" t="n">
        <v>1000000</v>
      </c>
      <c r="D5" s="9"/>
      <c r="E5" s="9"/>
      <c r="F5" s="9"/>
      <c r="G5" s="4" t="str">
        <f aca="false">IFERROR(IF(SUM(I5 * A$18)&lt;1,"",SUM(I5 * A$18)),"")</f>
        <v/>
      </c>
      <c r="I5" s="6" t="str">
        <f aca="false">IFERROR(IF(I4*(1+$A$18) - ($M$1) * (1+$A$16)^ROW()&lt;0,"",I4*(1+$A$18) - ($M$1) * (1+$A$16)^ROW()),"")</f>
        <v/>
      </c>
      <c r="K5" s="4" t="str">
        <f aca="false">IFERROR(IF(K4 * (1 + $A$18 * (1 - $A$19)) - (($A$17 * 12) * (1 + $A$16)) / (1 - $A$19)&lt;0,"",K4 * (1 + $A$18 * (1 - $A$19)) - (($A$17 * 12) * (1 + $A$16)) / (1 - $A$19)),"")</f>
        <v/>
      </c>
    </row>
    <row r="6" customFormat="false" ht="12.8" hidden="false" customHeight="false" outlineLevel="0" collapsed="false">
      <c r="A6" s="7" t="s">
        <v>6</v>
      </c>
      <c r="B6" s="7"/>
      <c r="C6" s="12" t="n">
        <v>0</v>
      </c>
      <c r="D6" s="13" t="s">
        <v>7</v>
      </c>
      <c r="E6" s="14" t="str">
        <f aca="false">"Intrest after "&amp;C6&amp;" years"</f>
        <v>Intrest after 0 years</v>
      </c>
      <c r="F6" s="14" t="str">
        <f aca="false">"Total after "&amp;C6&amp;" years"</f>
        <v>Total after 0 years</v>
      </c>
      <c r="G6" s="4" t="str">
        <f aca="false">IFERROR(IF(SUM(I6 * A$18)&lt;1,"",SUM(I6 * A$18)),"")</f>
        <v/>
      </c>
      <c r="H6" s="4" t="s">
        <v>8</v>
      </c>
      <c r="I6" s="6" t="str">
        <f aca="false">IFERROR(IF(I5*(1+$A$18) - ($M$1) * (1+$A$16)^ROW()&lt;0,"",I5*(1+$A$18) - ($M$1) * (1+$A$16)^ROW()),"")</f>
        <v/>
      </c>
      <c r="K6" s="4" t="str">
        <f aca="false">IFERROR(IF(K5 * (1 + $A$18 * (1 - $A$19)) - (($A$17 * 12) * (1 + $A$16)) / (1 - $A$19)&lt;0,"",K5 * (1 + $A$18 * (1 - $A$19)) - (($A$17 * 12) * (1 + $A$16)) / (1 - $A$19)),"")</f>
        <v/>
      </c>
    </row>
    <row r="7" customFormat="false" ht="12.8" hidden="false" customHeight="false" outlineLevel="0" collapsed="false">
      <c r="A7" s="7" t="s">
        <v>9</v>
      </c>
      <c r="B7" s="7"/>
      <c r="C7" s="15" t="n">
        <f aca="false">PMT(C3/12, C4*12, -C5*(1+C3/12)^(12*C6))</f>
        <v>3333.33333333333</v>
      </c>
      <c r="D7" s="16" t="n">
        <f aca="false">IFERROR(C7*(1-A19),"")</f>
        <v>2766.66666666667</v>
      </c>
      <c r="E7" s="16" t="n">
        <f aca="false">IFERROR(C5*((1+C3)^C6 - 1),"")</f>
        <v>0</v>
      </c>
      <c r="F7" s="16" t="n">
        <f aca="false">IFERROR(C5* (1 +C3)^C6,"")</f>
        <v>1000000</v>
      </c>
      <c r="G7" s="4" t="str">
        <f aca="false">IFERROR(IF(SUM(I7 * A$18)&lt;1,"",SUM(I7 * A$18)),"")</f>
        <v/>
      </c>
      <c r="H7" s="4" t="s">
        <v>8</v>
      </c>
      <c r="I7" s="6" t="str">
        <f aca="false">IFERROR(IF(I6*(1+$A$18) - ($M$1) * (1+$A$16)^ROW()&lt;0,"",I6*(1+$A$18) - ($M$1) * (1+$A$16)^ROW()),"")</f>
        <v/>
      </c>
      <c r="K7" s="4" t="str">
        <f aca="false">IFERROR(IF(K6 * (1 + $A$18 * (1 - $A$19)) - (($A$17 * 12) * (1 + $A$16)) / (1 - $A$19)&lt;0,"",K6 * (1 + $A$18 * (1 - $A$19)) - (($A$17 * 12) * (1 + $A$16)) / (1 - $A$19)),"")</f>
        <v/>
      </c>
    </row>
    <row r="8" customFormat="false" ht="7.45" hidden="false" customHeight="true" outlineLevel="0" collapsed="false">
      <c r="A8" s="17" t="s">
        <v>8</v>
      </c>
      <c r="B8" s="17"/>
      <c r="C8" s="17"/>
      <c r="D8" s="17"/>
      <c r="E8" s="17"/>
      <c r="F8" s="17"/>
      <c r="G8" s="4" t="str">
        <f aca="false">IFERROR(IF(SUM(I8 * A$18)&lt;1,"",SUM(I8 * A$18)),"")</f>
        <v/>
      </c>
      <c r="I8" s="6" t="str">
        <f aca="false">IFERROR(IF(I7*(1+$A$18) - ($M$1) * (1+$A$16)^ROW()&lt;0,"",I7*(1+$A$18) - ($M$1) * (1+$A$16)^ROW()),"")</f>
        <v/>
      </c>
      <c r="K8" s="4" t="str">
        <f aca="false">IFERROR(IF(K7 * (1 + $A$18 * (1 - $A$19)) - (($A$17 * 12) * (1 + $A$16)) / (1 - $A$19)&lt;0,"",K7 * (1 + $A$18 * (1 - $A$19)) - (($A$17 * 12) * (1 + $A$16)) / (1 - $A$19)),"")</f>
        <v/>
      </c>
      <c r="R8" s="18"/>
    </row>
    <row r="9" customFormat="false" ht="16.15" hidden="false" customHeight="false" outlineLevel="0" collapsed="false">
      <c r="A9" s="19" t="s">
        <v>10</v>
      </c>
      <c r="B9" s="19"/>
      <c r="C9" s="19"/>
      <c r="D9" s="19"/>
      <c r="E9" s="19"/>
      <c r="F9" s="19"/>
      <c r="G9" s="4" t="str">
        <f aca="false">IFERROR(IF(SUM(I9 * A$18)&lt;1,"",SUM(I9 * A$18)),"")</f>
        <v/>
      </c>
      <c r="I9" s="6" t="str">
        <f aca="false">IFERROR(IF(I8*(1+$A$18) - ($M$1) * (1+$A$16)^ROW()&lt;0,"",I8*(1+$A$18) - ($M$1) * (1+$A$16)^ROW()),"")</f>
        <v/>
      </c>
      <c r="K9" s="4" t="str">
        <f aca="false">IFERROR(IF(K8 * (1 + $A$18 * (1 - $A$19)) - (($A$17 * 12) * (1 + $A$16)) / (1 - $A$19)&lt;0,"",K8 * (1 + $A$18 * (1 - $A$19)) - (($A$17 * 12) * (1 + $A$16)) / (1 - $A$19)),"")</f>
        <v/>
      </c>
      <c r="R9" s="20" t="n">
        <f aca="false">PMT(C3/12, C4*12, -C5)</f>
        <v>3333.33333333333</v>
      </c>
    </row>
    <row r="10" customFormat="false" ht="12.8" hidden="false" customHeight="true" outlineLevel="0" collapsed="false">
      <c r="A10" s="21" t="s">
        <v>11</v>
      </c>
      <c r="B10" s="21"/>
      <c r="C10" s="21" t="s">
        <v>8</v>
      </c>
      <c r="D10" s="21"/>
      <c r="E10" s="21"/>
      <c r="F10" s="21"/>
      <c r="G10" s="4" t="str">
        <f aca="false">IFERROR(IF(SUM(I10 * A$18)&lt;1,"",SUM(I10 * A$18)),"")</f>
        <v/>
      </c>
      <c r="I10" s="6" t="str">
        <f aca="false">IFERROR(IF(I9*(1+$A$18) - ($M$1) * (1+$A$16)^ROW()&lt;0,"",I9*(1+$A$18) - ($M$1) * (1+$A$16)^ROW()),"")</f>
        <v/>
      </c>
      <c r="K10" s="4" t="str">
        <f aca="false">IFERROR(IF(K9 * (1 + $A$18 * (1 - $A$19)) - (($A$17 * 12) * (1 + $A$16)) / (1 - $A$19)&lt;0,"",K9 * (1 + $A$18 * (1 - $A$19)) - (($A$17 * 12) * (1 + $A$16)) / (1 - $A$19)),"")</f>
        <v/>
      </c>
    </row>
    <row r="11" customFormat="false" ht="13.8" hidden="false" customHeight="true" outlineLevel="0" collapsed="false">
      <c r="A11" s="22" t="n">
        <v>0</v>
      </c>
      <c r="B11" s="23"/>
      <c r="C11" s="24" t="s">
        <v>12</v>
      </c>
      <c r="D11" s="24"/>
      <c r="E11" s="25" t="s">
        <v>13</v>
      </c>
      <c r="F11" s="25"/>
      <c r="G11" s="4" t="str">
        <f aca="false">IFERROR(IF(SUM(I11 * A$18)&lt;1,"",SUM(I11 * A$18)),"")</f>
        <v/>
      </c>
      <c r="I11" s="6" t="str">
        <f aca="false">IFERROR(IF(I10*(1+$A$18) - ($M$1) * (1+$A$16)^ROW()&lt;0,"",I10*(1+$A$18) - ($M$1) * (1+$A$16)^ROW()),"")</f>
        <v/>
      </c>
      <c r="K11" s="4" t="str">
        <f aca="false">IFERROR(IF(K10 * (1 + $A$18 * (1 - $A$19)) - (($A$17 * 12) * (1 + $A$16)) / (1 - $A$19)&lt;0,"",K10 * (1 + $A$18 * (1 - $A$19)) - (($A$17 * 12) * (1 + $A$16)) / (1 - $A$19)),"")</f>
        <v/>
      </c>
    </row>
    <row r="12" customFormat="false" ht="13.8" hidden="false" customHeight="true" outlineLevel="0" collapsed="false">
      <c r="A12" s="22" t="n">
        <v>0</v>
      </c>
      <c r="B12" s="26" t="str">
        <f aca="false">"Monthly $"&amp;A12/12</f>
        <v>Monthly $0</v>
      </c>
      <c r="C12" s="24" t="s">
        <v>14</v>
      </c>
      <c r="D12" s="24"/>
      <c r="E12" s="25"/>
      <c r="F12" s="25"/>
      <c r="G12" s="4" t="str">
        <f aca="false">IFERROR(IF(SUM(I12 * A$18)&lt;1,"",SUM(I12 * A$18)),"")</f>
        <v/>
      </c>
      <c r="I12" s="6" t="str">
        <f aca="false">IFERROR(IF(I11*(1+$A$18) - ($M$1) * (1+$A$16)^ROW()&lt;0,"",I11*(1+$A$18) - ($M$1) * (1+$A$16)^ROW()),"")</f>
        <v/>
      </c>
      <c r="K12" s="4" t="str">
        <f aca="false">IFERROR(IF(K11 * (1 + $A$18 * (1 - $A$19)) - (($A$17 * 12) * (1 + $A$16)) / (1 - $A$19)&lt;0,"",K11 * (1 + $A$18 * (1 - $A$19)) - (($A$17 * 12) * (1 + $A$16)) / (1 - $A$19)),"")</f>
        <v/>
      </c>
    </row>
    <row r="13" customFormat="false" ht="13.8" hidden="false" customHeight="false" outlineLevel="0" collapsed="false">
      <c r="A13" s="27" t="n">
        <v>0</v>
      </c>
      <c r="B13" s="28"/>
      <c r="C13" s="28" t="s">
        <v>15</v>
      </c>
      <c r="D13" s="28"/>
      <c r="E13" s="25"/>
      <c r="F13" s="25"/>
      <c r="G13" s="4" t="str">
        <f aca="false">IFERROR(IF(SUM(I13 * A$18)&lt;1,"",SUM(I13 * A$18)),"")</f>
        <v/>
      </c>
      <c r="I13" s="6" t="str">
        <f aca="false">IFERROR(IF(I12*(1+$A$18) - ($M$1) * (1+$A$16)^ROW()&lt;0,"",I12*(1+$A$18) - ($M$1) * (1+$A$16)^ROW()),"")</f>
        <v/>
      </c>
      <c r="K13" s="4" t="str">
        <f aca="false">IFERROR(IF(K12 * (1 + $A$18 * (1 - $A$19)) - (($A$17 * 12) * (1 + $A$16)) / (1 - $A$19)&lt;0,"",K12 * (1 + $A$18 * (1 - $A$19)) - (($A$17 * 12) * (1 + $A$16)) / (1 - $A$19)),"")</f>
        <v/>
      </c>
    </row>
    <row r="14" customFormat="false" ht="13.8" hidden="false" customHeight="false" outlineLevel="0" collapsed="false">
      <c r="A14" s="27" t="n">
        <v>0</v>
      </c>
      <c r="B14" s="29"/>
      <c r="C14" s="28" t="s">
        <v>16</v>
      </c>
      <c r="D14" s="28"/>
      <c r="E14" s="25"/>
      <c r="F14" s="25" t="s">
        <v>8</v>
      </c>
      <c r="G14" s="4" t="str">
        <f aca="false">IFERROR(IF(SUM(I14 * A$18)&lt;1,"",SUM(I14 * A$18)),"")</f>
        <v/>
      </c>
      <c r="I14" s="6" t="str">
        <f aca="false">IFERROR(IF(I13*(1+$A$18) - ($M$1) * (1+$A$16)^ROW()&lt;0,"",I13*(1+$A$18) - ($M$1) * (1+$A$16)^ROW()),"")</f>
        <v/>
      </c>
      <c r="K14" s="4" t="str">
        <f aca="false">IFERROR(IF(K13 * (1 + $A$18 * (1 - $A$19)) - (($A$17 * 12) * (1 + $A$16)) / (1 - $A$19)&lt;0,"",K13 * (1 + $A$18 * (1 - $A$19)) - (($A$17 * 12) * (1 + $A$16)) / (1 - $A$19)),"")</f>
        <v/>
      </c>
    </row>
    <row r="15" customFormat="false" ht="13.8" hidden="false" customHeight="true" outlineLevel="0" collapsed="false">
      <c r="A15" s="30" t="n">
        <v>0</v>
      </c>
      <c r="B15" s="31"/>
      <c r="C15" s="24" t="s">
        <v>17</v>
      </c>
      <c r="D15" s="24"/>
      <c r="E15" s="25"/>
      <c r="F15" s="25" t="s">
        <v>8</v>
      </c>
      <c r="G15" s="4" t="str">
        <f aca="false">IFERROR(IF(SUM(I15 * A$18)&lt;1,"",SUM(I15 * A$18)),"")</f>
        <v/>
      </c>
      <c r="I15" s="6" t="str">
        <f aca="false">IFERROR(IF(I14*(1+$A$18) - ($M$1) * (1+$A$16)^ROW()&lt;0,"",I14*(1+$A$18) - ($M$1) * (1+$A$16)^ROW()),"")</f>
        <v/>
      </c>
      <c r="K15" s="4" t="str">
        <f aca="false">IFERROR(IF(K14 * (1 + $A$18 * (1 - $A$19)) - (($A$17 * 12) * (1 + $A$16)) / (1 - $A$19)&lt;0,"",K14 * (1 + $A$18 * (1 - $A$19)) - (($A$17 * 12) * (1 + $A$16)) / (1 - $A$19)),"")</f>
        <v/>
      </c>
    </row>
    <row r="16" customFormat="false" ht="13.8" hidden="false" customHeight="true" outlineLevel="0" collapsed="false">
      <c r="A16" s="32" t="n">
        <v>0</v>
      </c>
      <c r="B16" s="33"/>
      <c r="C16" s="24" t="s">
        <v>18</v>
      </c>
      <c r="D16" s="24"/>
      <c r="E16" s="25"/>
      <c r="F16" s="25"/>
      <c r="G16" s="4" t="str">
        <f aca="false">IFERROR(IF(SUM(I16 * A$18)&lt;1,"",SUM(I16 * A$18)),"")</f>
        <v/>
      </c>
      <c r="I16" s="6" t="str">
        <f aca="false">IFERROR(IF(I15*(1+$A$18) - ($M$1) * (1+$A$16)^ROW()&lt;0,"",I15*(1+$A$18) - ($M$1) * (1+$A$16)^ROW()),"")</f>
        <v/>
      </c>
      <c r="K16" s="4" t="str">
        <f aca="false">IFERROR(IF(K15 * (1 + $A$18 * (1 - $A$19)) - (($A$17 * 12) * (1 + $A$16)) / (1 - $A$19)&lt;0,"",K15 * (1 + $A$18 * (1 - $A$19)) - (($A$17 * 12) * (1 + $A$16)) / (1 - $A$19)),"")</f>
        <v/>
      </c>
    </row>
    <row r="17" customFormat="false" ht="25.35" hidden="false" customHeight="true" outlineLevel="0" collapsed="false">
      <c r="A17" s="34" t="n">
        <v>0</v>
      </c>
      <c r="B17" s="35" t="n">
        <f aca="false">(A17*12)</f>
        <v>0</v>
      </c>
      <c r="C17" s="24" t="s">
        <v>19</v>
      </c>
      <c r="D17" s="24"/>
      <c r="E17" s="25"/>
      <c r="F17" s="25"/>
      <c r="G17" s="4" t="str">
        <f aca="false">IFERROR(IF(SUM(I17 * A$18)&lt;1,"",SUM(I17 * A$18)),"")</f>
        <v/>
      </c>
      <c r="I17" s="6" t="str">
        <f aca="false">IFERROR(IF(I16*(1+$A$18) - ($M$1) * (1+$A$16)^ROW()&lt;0,"",I16*(1+$A$18) - ($M$1) * (1+$A$16)^ROW()),"")</f>
        <v/>
      </c>
      <c r="K17" s="4" t="str">
        <f aca="false">IFERROR(IF(K16 * (1 + $A$18 * (1 - $A$19)) - (($A$17 * 12) * (1 + $A$16)) / (1 - $A$19)&lt;0,"",K16 * (1 + $A$18 * (1 - $A$19)) - (($A$17 * 12) * (1 + $A$16)) / (1 - $A$19)),"")</f>
        <v/>
      </c>
    </row>
    <row r="18" customFormat="false" ht="14.15" hidden="false" customHeight="true" outlineLevel="0" collapsed="false">
      <c r="A18" s="36" t="n">
        <v>0</v>
      </c>
      <c r="B18" s="31"/>
      <c r="C18" s="24" t="s">
        <v>20</v>
      </c>
      <c r="D18" s="24"/>
      <c r="E18" s="25"/>
      <c r="F18" s="25"/>
      <c r="G18" s="4" t="str">
        <f aca="false">IFERROR(IF(SUM(I18 * A$18)&lt;1,"",SUM(I18 * A$18)),"")</f>
        <v/>
      </c>
      <c r="I18" s="6" t="str">
        <f aca="false">IFERROR(IF(I17*(1+$A$18) - ($M$1) * (1+$A$16)^ROW()&lt;0,"",I17*(1+$A$18) - ($M$1) * (1+$A$16)^ROW()),"")</f>
        <v/>
      </c>
      <c r="K18" s="4" t="str">
        <f aca="false">IFERROR(IF(K17 * (1 + $A$18 * (1 - $A$19)) - (($A$17 * 12) * (1 + $A$16)) / (1 - $A$19)&lt;0,"",K17 * (1 + $A$18 * (1 - $A$19)) - (($A$17 * 12) * (1 + $A$16)) / (1 - $A$19)),"")</f>
        <v/>
      </c>
      <c r="N18" s="37"/>
    </row>
    <row r="19" customFormat="false" ht="14.15" hidden="false" customHeight="true" outlineLevel="0" collapsed="false">
      <c r="A19" s="36" t="n">
        <v>0.17</v>
      </c>
      <c r="B19" s="31"/>
      <c r="C19" s="24" t="s">
        <v>21</v>
      </c>
      <c r="D19" s="24"/>
      <c r="E19" s="25"/>
      <c r="F19" s="25"/>
      <c r="G19" s="4" t="str">
        <f aca="false">IFERROR(IF(SUM(I19 * A$18)&lt;1,"",SUM(I19 * A$18)),"")</f>
        <v/>
      </c>
      <c r="I19" s="4" t="str">
        <f aca="false">IFERROR(IF(I18*(1+$A$18) - ($M$1) * (1+$A$16)^ROW()&lt;0,"",I18*(1+$A$18) - ($M$1) * (1+$A$16)^ROW()),"")</f>
        <v/>
      </c>
      <c r="K19" s="4" t="str">
        <f aca="false">IFERROR(IF(K18 * (1 + $A$18 * (1 - $A$19)) - (($A$17 * 12) * (1 + $A$16)) / (1 - $A$19)&lt;0,"",K18 * (1 + $A$18 * (1 - $A$19)) - (($A$17 * 12) * (1 + $A$16)) / (1 - $A$19)),"")</f>
        <v/>
      </c>
      <c r="N19" s="37"/>
    </row>
    <row r="20" customFormat="false" ht="23.85" hidden="false" customHeight="true" outlineLevel="0" collapsed="false">
      <c r="A20" s="38" t="s">
        <v>22</v>
      </c>
      <c r="B20" s="38"/>
      <c r="C20" s="38" t="s">
        <v>23</v>
      </c>
      <c r="D20" s="38"/>
      <c r="E20" s="38" t="s">
        <v>24</v>
      </c>
      <c r="F20" s="38"/>
      <c r="G20" s="4" t="str">
        <f aca="false">IFERROR(IF(SUM(I20 * A$18)&lt;1,"",SUM(I20 * A$18)),"")</f>
        <v/>
      </c>
      <c r="I20" s="4" t="str">
        <f aca="false">IFERROR(IF(I19*(1+$A$18) - ($M$1) * (1+$A$16)^ROW()&lt;0,"",I19*(1+$A$18) - ($M$1) * (1+$A$16)^ROW()),"")</f>
        <v/>
      </c>
      <c r="K20" s="4" t="str">
        <f aca="false">IFERROR(IF(K19 * (1 + $A$18 * (1 - $A$19)) - (($A$17 * 12) * (1 + $A$16)) / (1 - $A$19)&lt;0,"",K19 * (1 + $A$18 * (1 - $A$19)) - (($A$17 * 12) * (1 + $A$16)) / (1 - $A$19)),"")</f>
        <v/>
      </c>
      <c r="N20" s="37"/>
    </row>
    <row r="21" customFormat="false" ht="12.8" hidden="false" customHeight="false" outlineLevel="0" collapsed="false">
      <c r="A21" s="39" t="e">
        <f aca="false">A11*(1+A18)^A13 + A12*((1+A18)^A13-1)/A18</f>
        <v>#DIV/0!</v>
      </c>
      <c r="B21" s="39"/>
      <c r="C21" s="40" t="n">
        <f aca="false">E21*12</f>
        <v>0</v>
      </c>
      <c r="D21" s="40"/>
      <c r="E21" s="41" t="n">
        <f aca="false">H1</f>
        <v>0</v>
      </c>
      <c r="F21" s="41"/>
      <c r="G21" s="42" t="str">
        <f aca="false">IFERROR(IF(SUM(I21 * A$18)&lt;1,"",SUM(I21 * A$18)),"")</f>
        <v/>
      </c>
      <c r="I21" s="4" t="str">
        <f aca="false">IFERROR(IF(I20*(1+$A$18) - ($M$1) * (1+$A$16)^ROW()&lt;0,"",I20*(1+$A$18) - ($M$1) * (1+$A$16)^ROW()),"")</f>
        <v/>
      </c>
      <c r="K21" s="4" t="str">
        <f aca="false">IFERROR(IF(K20 * (1 + $A$18 * (1 - $A$19)) - (($A$17 * 12) * (1 + $A$16)) / (1 - $A$19)&lt;0,"",K20 * (1 + $A$18 * (1 - $A$19)) - (($A$17 * 12) * (1 + $A$16)) / (1 - $A$19)),"")</f>
        <v/>
      </c>
      <c r="N21" s="37"/>
    </row>
    <row r="22" customFormat="false" ht="12.8" hidden="false" customHeight="false" outlineLevel="0" collapsed="false">
      <c r="A22" s="43" t="s">
        <v>25</v>
      </c>
      <c r="B22" s="43"/>
      <c r="C22" s="43"/>
      <c r="D22" s="44" t="s">
        <v>26</v>
      </c>
      <c r="E22" s="44"/>
      <c r="F22" s="44"/>
      <c r="G22" s="4" t="str">
        <f aca="false">IFERROR(IF(SUM(I22 * A$18)&lt;1,"",SUM(I22 * A$18)),"")</f>
        <v/>
      </c>
      <c r="I22" s="4" t="str">
        <f aca="false">IFERROR(IF(I21*(1+$A$18) - ($M$1) * (1+$A$16)^ROW()&lt;0,"",I21*(1+$A$18) - ($M$1) * (1+$A$16)^ROW()),"")</f>
        <v/>
      </c>
      <c r="K22" s="4" t="str">
        <f aca="false">IFERROR(IF(K21 * (1 + $A$18 * (1 - $A$19)) - (($A$17 * 12) * (1 + $A$16)) / (1 - $A$19)&lt;0,"",K21 * (1 + $A$18 * (1 - $A$19)) - (($A$17 * 12) * (1 + $A$16)) / (1 - $A$19)),"")</f>
        <v/>
      </c>
      <c r="N22" s="37"/>
    </row>
    <row r="23" customFormat="false" ht="12.8" hidden="false" customHeight="false" outlineLevel="0" collapsed="false">
      <c r="A23" s="45" t="n">
        <f aca="false">SUMIF(G1:G89,"&gt;0")</f>
        <v>0</v>
      </c>
      <c r="B23" s="45"/>
      <c r="C23" s="45"/>
      <c r="D23" s="45" t="e">
        <f aca="false">A23+A21</f>
        <v>#DIV/0!</v>
      </c>
      <c r="E23" s="45"/>
      <c r="F23" s="45"/>
      <c r="G23" s="4" t="str">
        <f aca="false">IFERROR(IF(SUM(I23 * A$18)&lt;1,"",SUM(I23 * A$18)),"")</f>
        <v/>
      </c>
      <c r="I23" s="4" t="str">
        <f aca="false">IFERROR(IF(I22*(1+$A$18) - ($M$1) * (1+$A$16)^ROW()&lt;0,"",I22*(1+$A$18) - ($M$1) * (1+$A$16)^ROW()),"")</f>
        <v/>
      </c>
      <c r="K23" s="4" t="str">
        <f aca="false">IFERROR(IF(K22 * (1 + $A$18 * (1 - $A$19)) - (($A$17 * 12) * (1 + $A$16)) / (1 - $A$19)&lt;0,"",K22 * (1 + $A$18 * (1 - $A$19)) - (($A$17 * 12) * (1 + $A$16)) / (1 - $A$19)),"")</f>
        <v/>
      </c>
    </row>
    <row r="24" customFormat="false" ht="12.8" hidden="false" customHeight="false" outlineLevel="0" collapsed="false">
      <c r="A24" s="46"/>
      <c r="B24" s="47"/>
      <c r="C24" s="47"/>
      <c r="D24" s="47"/>
      <c r="E24" s="47" t="s">
        <v>8</v>
      </c>
      <c r="F24" s="48"/>
      <c r="G24" s="4" t="str">
        <f aca="false">IFERROR(IF(SUM(I24 * A$18)&lt;1,"",SUM(I24 * A$18)),"")</f>
        <v/>
      </c>
      <c r="I24" s="4" t="str">
        <f aca="false">IFERROR(IF(I23*(1+$A$18) - ($M$1) * (1+$A$16)^ROW()&lt;0,"",I23*(1+$A$18) - ($M$1) * (1+$A$16)^ROW()),"")</f>
        <v/>
      </c>
      <c r="K24" s="4" t="str">
        <f aca="false">IFERROR(IF(K23 * (1 + $A$18 * (1 - $A$19)) - (($A$17 * 12) * (1 + $A$16)) / (1 - $A$19)&lt;0,"",K23 * (1 + $A$18 * (1 - $A$19)) - (($A$17 * 12) * (1 + $A$16)) / (1 - $A$19)),"")</f>
        <v/>
      </c>
    </row>
    <row r="25" customFormat="false" ht="12.8" hidden="false" customHeight="false" outlineLevel="0" collapsed="false">
      <c r="A25" s="49"/>
      <c r="B25" s="50" t="s">
        <v>27</v>
      </c>
      <c r="C25" s="50"/>
      <c r="D25" s="50"/>
      <c r="E25" s="50"/>
      <c r="F25" s="51"/>
      <c r="G25" s="4" t="str">
        <f aca="false">IFERROR(IF(SUM(I25 * A$18)&lt;1,"",SUM(I25 * A$18)),"")</f>
        <v/>
      </c>
      <c r="I25" s="4" t="str">
        <f aca="false">IFERROR(IF(I24*(1+$A$18) - ($M$1) * (1+$A$16)^ROW()&lt;0,"",I24*(1+$A$18) - ($M$1) * (1+$A$16)^ROW()),"")</f>
        <v/>
      </c>
      <c r="K25" s="4" t="str">
        <f aca="false">IFERROR(IF(K24 * (1 + $A$18 * (1 - $A$19)) - (($A$17 * 12) * (1 + $A$16)) / (1 - $A$19)&lt;0,"",K24 * (1 + $A$18 * (1 - $A$19)) - (($A$17 * 12) * (1 + $A$16)) / (1 - $A$19)),"")</f>
        <v/>
      </c>
    </row>
    <row r="26" customFormat="false" ht="23.85" hidden="false" customHeight="true" outlineLevel="0" collapsed="false">
      <c r="A26" s="52" t="s">
        <v>28</v>
      </c>
      <c r="B26" s="52"/>
      <c r="C26" s="53" t="n">
        <v>0</v>
      </c>
      <c r="D26" s="54" t="str">
        <f aca="false">""&amp;IFERROR(TEXT(A11/C26, "#,##0.0"),"0")&amp;" Times"</f>
        <v>0 Times</v>
      </c>
      <c r="E26" s="52" t="s">
        <v>29</v>
      </c>
      <c r="F26" s="52"/>
      <c r="G26" s="4" t="str">
        <f aca="false">IFERROR(IF(SUM(I26 * A$18)&lt;1,"",SUM(I26 * A$18)),"")</f>
        <v/>
      </c>
      <c r="I26" s="4" t="str">
        <f aca="false">IFERROR(IF(I25*(1+$A$18) - ($M$1) * (1+$A$16)^ROW()&lt;0,"",I25*(1+$A$18) - ($M$1) * (1+$A$16)^ROW()),"")</f>
        <v/>
      </c>
      <c r="K26" s="4" t="str">
        <f aca="false">IFERROR(IF(K25 * (1 + $A$18 * (1 - $A$19)) - (($A$17 * 12) * (1 + $A$16)) / (1 - $A$19)&lt;0,"",K25 * (1 + $A$18 * (1 - $A$19)) - (($A$17 * 12) * (1 + $A$16)) / (1 - $A$19)),"")</f>
        <v/>
      </c>
    </row>
    <row r="27" customFormat="false" ht="35.05" hidden="false" customHeight="true" outlineLevel="0" collapsed="false">
      <c r="A27" s="55" t="s">
        <v>30</v>
      </c>
      <c r="B27" s="55"/>
      <c r="C27" s="45" t="str">
        <f aca="false">IFERROR(A21,"")</f>
        <v/>
      </c>
      <c r="D27" s="56" t="str">
        <f aca="false">IF((SUM(B17/4%)-(A11))*-1&lt;0,"Need " &amp; CHAR(10) &amp; "$" &amp; TEXT(ABS((SUM(B17/4%)-(A11))*-1), "#,##0") &amp; CHAR(10) &amp; " More", "On Track " &amp; CHAR(10) &amp; "$" &amp; TEXT((SUM(B17/4%)-(A11))*-1, "#,##0"))</f>
        <v>On Track 
$0</v>
      </c>
      <c r="E27" s="52" t="s">
        <v>31</v>
      </c>
      <c r="F27" s="52"/>
      <c r="G27" s="4" t="str">
        <f aca="false">IFERROR(IF(SUM(I27 * A$18)&lt;1,"",SUM(I27 * A$18)),"")</f>
        <v/>
      </c>
      <c r="I27" s="4" t="str">
        <f aca="false">IFERROR(IF(I26*(1+$A$18) - ($M$1) * (1+$A$16)^ROW()&lt;0,"",I26*(1+$A$18) - ($M$1) * (1+$A$16)^ROW()),"")</f>
        <v/>
      </c>
      <c r="K27" s="4" t="str">
        <f aca="false">IFERROR(IF(K26 * (1 + $A$18 * (1 - $A$19)) - (($A$17 * 12) * (1 + $A$16)) / (1 - $A$19)&lt;0,"",K26 * (1 + $A$18 * (1 - $A$19)) - (($A$17 * 12) * (1 + $A$16)) / (1 - $A$19)),"")</f>
        <v/>
      </c>
    </row>
    <row r="28" customFormat="false" ht="57.45" hidden="false" customHeight="true" outlineLevel="0" collapsed="false">
      <c r="A28" s="55" t="s">
        <v>30</v>
      </c>
      <c r="B28" s="55"/>
      <c r="C28" s="45" t="str">
        <f aca="false">IFERROR(A21*0.04/12,"")</f>
        <v/>
      </c>
      <c r="D28" s="55" t="s">
        <v>32</v>
      </c>
      <c r="E28" s="52" t="s">
        <v>33</v>
      </c>
      <c r="F28" s="52"/>
      <c r="G28" s="4" t="str">
        <f aca="false">IFERROR(IF(SUM(I28 * A$18)&lt;1,"",SUM(I28 * A$18)),"")</f>
        <v/>
      </c>
      <c r="I28" s="4" t="str">
        <f aca="false">IFERROR(IF(I27*(1+$A$18) - ($M$1) * (1+$A$16)^ROW()&lt;0,"",I27*(1+$A$18) - ($M$1) * (1+$A$16)^ROW()),"")</f>
        <v/>
      </c>
      <c r="K28" s="4" t="str">
        <f aca="false">IFERROR(IF(K27 * (1 + $A$18 * (1 - $A$19)) - (($A$17 * 12) * (1 + $A$16)) / (1 - $A$19)&lt;0,"",K27 * (1 + $A$18 * (1 - $A$19)) - (($A$17 * 12) * (1 + $A$16)) / (1 - $A$19)),"")</f>
        <v/>
      </c>
    </row>
    <row r="29" customFormat="false" ht="68.65" hidden="false" customHeight="true" outlineLevel="0" collapsed="false">
      <c r="A29" s="55" t="s">
        <v>34</v>
      </c>
      <c r="B29" s="55"/>
      <c r="C29" s="57" t="n">
        <v>31</v>
      </c>
      <c r="D29" s="45" t="str">
        <f aca="false">IF(C29&lt;=30, IF(A11&gt;=C26*1, "Goal Reached", C26*1 - A11), IF(C29&lt;=40, IF(A11&gt;=C26*3, "Goal Reached", C26*3 - A11), IF(C29&lt;=50, IF(A11&gt;=C26*6, "Goal Reached", C26*6 - A11), IF(C29&lt;=67, IF(A11&gt;=C26*10, "Goal Reached", C26*10 - A11), "Goal Reached"))))</f>
        <v>Goal Reached</v>
      </c>
      <c r="E29" s="52" t="s">
        <v>35</v>
      </c>
      <c r="F29" s="52"/>
      <c r="G29" s="4" t="str">
        <f aca="false">IFERROR(IF(SUM(I29 * A$18)&lt;1,"",SUM(I29 * A$18)),"")</f>
        <v/>
      </c>
      <c r="I29" s="4" t="str">
        <f aca="false">IFERROR(IF(I28*(1+$A$18) - ($M$1) * (1+$A$16)^ROW()&lt;0,"",I28*(1+$A$18) - ($M$1) * (1+$A$16)^ROW()),"")</f>
        <v/>
      </c>
      <c r="K29" s="4" t="str">
        <f aca="false">IFERROR(IF(K28 * (1 + $A$18 * (1 - $A$19)) - (($A$17 * 12) * (1 + $A$16)) / (1 - $A$19)&lt;0,"",K28 * (1 + $A$18 * (1 - $A$19)) - (($A$17 * 12) * (1 + $A$16)) / (1 - $A$19)),"")</f>
        <v/>
      </c>
    </row>
    <row r="30" customFormat="false" ht="52.95" hidden="false" customHeight="true" outlineLevel="0" collapsed="false">
      <c r="A30" s="58" t="s">
        <v>36</v>
      </c>
      <c r="B30" s="58"/>
      <c r="C30" s="58"/>
      <c r="D30" s="58"/>
      <c r="E30" s="58"/>
      <c r="F30" s="58"/>
      <c r="G30" s="4" t="str">
        <f aca="false">IFERROR(IF(SUM(I30 * A$18)&lt;1,"",SUM(I30 * A$18)),"")</f>
        <v/>
      </c>
      <c r="I30" s="4" t="str">
        <f aca="false">IFERROR(IF(I29*(1+$A$18) - ($M$1) * (1+$A$16)^ROW()&lt;0,"",I29*(1+$A$18) - ($M$1) * (1+$A$16)^ROW()),"")</f>
        <v/>
      </c>
      <c r="K30" s="4" t="str">
        <f aca="false">IFERROR(IF(K29 * (1 + $A$18 * (1 - $A$19)) - (($A$17 * 12) * (1 + $A$16)) / (1 - $A$19)&lt;0,"",K29 * (1 + $A$18 * (1 - $A$19)) - (($A$17 * 12) * (1 + $A$16)) / (1 - $A$19)),"")</f>
        <v/>
      </c>
    </row>
    <row r="31" customFormat="false" ht="12.8" hidden="false" customHeight="false" outlineLevel="0" collapsed="false">
      <c r="G31" s="4" t="str">
        <f aca="false">IFERROR(IF(SUM(I31 * A$18)&lt;1,"",SUM(I31 * A$18)),"")</f>
        <v/>
      </c>
      <c r="I31" s="4" t="str">
        <f aca="false">IFERROR(IF(I30*(1+$A$18) - ($M$1) * (1+$A$16)^ROW()&lt;0,"",I30*(1+$A$18) - ($M$1) * (1+$A$16)^ROW()),"")</f>
        <v/>
      </c>
      <c r="K31" s="4" t="str">
        <f aca="false">IFERROR(IF(K30 * (1 + $A$18 * (1 - $A$19)) - (($A$17 * 12) * (1 + $A$16)) / (1 - $A$19)&lt;0,"",K30 * (1 + $A$18 * (1 - $A$19)) - (($A$17 * 12) * (1 + $A$16)) / (1 - $A$19)),"")</f>
        <v/>
      </c>
    </row>
    <row r="32" customFormat="false" ht="12.8" hidden="false" customHeight="false" outlineLevel="0" collapsed="false">
      <c r="G32" s="4" t="str">
        <f aca="false">IFERROR(IF(SUM(I32 * A$18)&lt;1,"",SUM(I32 * A$18)),"")</f>
        <v/>
      </c>
      <c r="I32" s="4" t="str">
        <f aca="false">IFERROR(IF(I31*(1+$A$18) - ($M$1) * (1+$A$16)^ROW()&lt;0,"",I31*(1+$A$18) - ($M$1) * (1+$A$16)^ROW()),"")</f>
        <v/>
      </c>
      <c r="K32" s="4" t="str">
        <f aca="false">IFERROR(IF(K31 * (1 + $A$18 * (1 - $A$19)) - (($A$17 * 12) * (1 + $A$16)) / (1 - $A$19)&lt;0,"",K31 * (1 + $A$18 * (1 - $A$19)) - (($A$17 * 12) * (1 + $A$16)) / (1 - $A$19)),"")</f>
        <v/>
      </c>
    </row>
    <row r="33" customFormat="false" ht="12.8" hidden="false" customHeight="false" outlineLevel="0" collapsed="false">
      <c r="G33" s="4" t="str">
        <f aca="false">IFERROR(IF(SUM(I33 * A$18)&lt;1,"",SUM(I33 * A$18)),"")</f>
        <v/>
      </c>
      <c r="I33" s="4" t="str">
        <f aca="false">IFERROR(IF(I32*(1+$A$18) - ($M$1) * (1+$A$16)^ROW()&lt;0,"",I32*(1+$A$18) - ($M$1) * (1+$A$16)^ROW()),"")</f>
        <v/>
      </c>
      <c r="K33" s="4" t="str">
        <f aca="false">IFERROR(IF(K32 * (1 + $A$18 * (1 - $A$19)) - (($A$17 * 12) * (1 + $A$16)) / (1 - $A$19)&lt;0,"",K32 * (1 + $A$18 * (1 - $A$19)) - (($A$17 * 12) * (1 + $A$16)) / (1 - $A$19)),"")</f>
        <v/>
      </c>
    </row>
    <row r="34" customFormat="false" ht="12.8" hidden="false" customHeight="false" outlineLevel="0" collapsed="false">
      <c r="G34" s="4" t="str">
        <f aca="false">IFERROR(IF(SUM(I34 * A$18)&lt;1,"",SUM(I34 * A$18)),"")</f>
        <v/>
      </c>
      <c r="I34" s="4" t="str">
        <f aca="false">IFERROR(IF(I33*(1+$A$18) - ($M$1) * (1+$A$16)^ROW()&lt;0,"",I33*(1+$A$18) - ($M$1) * (1+$A$16)^ROW()),"")</f>
        <v/>
      </c>
      <c r="K34" s="4" t="str">
        <f aca="false">IFERROR(IF(K33 * (1 + $A$18 * (1 - $A$19)) - (($A$17 * 12) * (1 + $A$16)) / (1 - $A$19)&lt;0,"",K33 * (1 + $A$18 * (1 - $A$19)) - (($A$17 * 12) * (1 + $A$16)) / (1 - $A$19)),"")</f>
        <v/>
      </c>
    </row>
    <row r="35" customFormat="false" ht="12.8" hidden="false" customHeight="false" outlineLevel="0" collapsed="false">
      <c r="G35" s="4" t="str">
        <f aca="false">IFERROR(IF(SUM(I35 * A$18)&lt;1,"",SUM(I35 * A$18)),"")</f>
        <v/>
      </c>
      <c r="I35" s="4" t="str">
        <f aca="false">IFERROR(IF(I34*(1+$A$18) - ($M$1) * (1+$A$16)^ROW()&lt;0,"",I34*(1+$A$18) - ($M$1) * (1+$A$16)^ROW()),"")</f>
        <v/>
      </c>
      <c r="K35" s="4" t="str">
        <f aca="false">IFERROR(IF(K34 * (1 + $A$18 * (1 - $A$19)) - (($A$17 * 12) * (1 + $A$16)) / (1 - $A$19)&lt;0,"",K34 * (1 + $A$18 * (1 - $A$19)) - (($A$17 * 12) * (1 + $A$16)) / (1 - $A$19)),"")</f>
        <v/>
      </c>
    </row>
    <row r="36" customFormat="false" ht="12.8" hidden="false" customHeight="false" outlineLevel="0" collapsed="false">
      <c r="G36" s="4" t="str">
        <f aca="false">IFERROR(IF(SUM(I36 * A$18)&lt;1,"",SUM(I36 * A$18)),"")</f>
        <v/>
      </c>
      <c r="I36" s="4" t="str">
        <f aca="false">IFERROR(IF(I35*(1+$A$18) - ($M$1) * (1+$A$16)^ROW()&lt;0,"",I35*(1+$A$18) - ($M$1) * (1+$A$16)^ROW()),"")</f>
        <v/>
      </c>
      <c r="K36" s="4" t="str">
        <f aca="false">IFERROR(IF(K35 * (1 + $A$18 * (1 - $A$19)) - (($A$17 * 12) * (1 + $A$16)) / (1 - $A$19)&lt;0,"",K35 * (1 + $A$18 * (1 - $A$19)) - (($A$17 * 12) * (1 + $A$16)) / (1 - $A$19)),"")</f>
        <v/>
      </c>
    </row>
    <row r="37" customFormat="false" ht="12.8" hidden="false" customHeight="false" outlineLevel="0" collapsed="false">
      <c r="G37" s="4" t="str">
        <f aca="false">IFERROR(IF(SUM(I37 * A$18)&lt;1,"",SUM(I37 * A$18)),"")</f>
        <v/>
      </c>
      <c r="I37" s="4" t="str">
        <f aca="false">IFERROR(IF(I36*(1+$A$18) - ($M$1) * (1+$A$16)^ROW()&lt;0,"",I36*(1+$A$18) - ($M$1) * (1+$A$16)^ROW()),"")</f>
        <v/>
      </c>
      <c r="K37" s="4" t="str">
        <f aca="false">IFERROR(IF(K36 * (1 + $A$18 * (1 - $A$19)) - (($A$17 * 12) * (1 + $A$16)) / (1 - $A$19)&lt;0,"",K36 * (1 + $A$18 * (1 - $A$19)) - (($A$17 * 12) * (1 + $A$16)) / (1 - $A$19)),"")</f>
        <v/>
      </c>
    </row>
    <row r="38" customFormat="false" ht="12.8" hidden="false" customHeight="false" outlineLevel="0" collapsed="false">
      <c r="A38" s="59"/>
      <c r="B38" s="59"/>
      <c r="C38" s="59"/>
      <c r="D38" s="59"/>
      <c r="E38" s="59"/>
      <c r="F38" s="59"/>
      <c r="G38" s="4" t="str">
        <f aca="false">IFERROR(IF(SUM(I38 * A$18)&lt;1,"",SUM(I38 * A$18)),"")</f>
        <v/>
      </c>
      <c r="I38" s="4" t="str">
        <f aca="false">IFERROR(IF(I37*(1+$A$18) - ($M$1) * (1+$A$16)^ROW()&lt;0,"",I37*(1+$A$18) - ($M$1) * (1+$A$16)^ROW()),"")</f>
        <v/>
      </c>
      <c r="K38" s="4" t="str">
        <f aca="false">IFERROR(IF(K37 * (1 + $A$18 * (1 - $A$19)) - (($A$17 * 12) * (1 + $A$16)) / (1 - $A$19)&lt;0,"",K37 * (1 + $A$18 * (1 - $A$19)) - (($A$17 * 12) * (1 + $A$16)) / (1 - $A$19)),"")</f>
        <v/>
      </c>
    </row>
    <row r="39" customFormat="false" ht="12.8" hidden="false" customHeight="false" outlineLevel="0" collapsed="false">
      <c r="F39" s="59"/>
      <c r="G39" s="4" t="str">
        <f aca="false">IFERROR(IF(SUM(I39 * A$18)&lt;1,"",SUM(I39 * A$18)),"")</f>
        <v/>
      </c>
      <c r="I39" s="4" t="str">
        <f aca="false">IFERROR(IF(I38*(1+$A$18) - ($M$1) * (1+$A$16)^ROW()&lt;0,"",I38*(1+$A$18) - ($M$1) * (1+$A$16)^ROW()),"")</f>
        <v/>
      </c>
      <c r="K39" s="4" t="str">
        <f aca="false">IFERROR(IF(K38 * (1 + $A$18 * (1 - $A$19)) - (($A$17 * 12) * (1 + $A$16)) / (1 - $A$19)&lt;0,"",K38 * (1 + $A$18 * (1 - $A$19)) - (($A$17 * 12) * (1 + $A$16)) / (1 - $A$19)),"")</f>
        <v/>
      </c>
    </row>
    <row r="40" customFormat="false" ht="12.8" hidden="false" customHeight="false" outlineLevel="0" collapsed="false">
      <c r="F40" s="59"/>
      <c r="G40" s="4" t="str">
        <f aca="false">IFERROR(IF(SUM(I40 * A$18)&lt;1,"",SUM(I40 * A$18)),"")</f>
        <v/>
      </c>
      <c r="I40" s="4" t="str">
        <f aca="false">IFERROR(IF(I39*(1+$A$18) - ($M$1) * (1+$A$16)^ROW()&lt;0,"",I39*(1+$A$18) - ($M$1) * (1+$A$16)^ROW()),"")</f>
        <v/>
      </c>
      <c r="K40" s="4" t="str">
        <f aca="false">IFERROR(IF(K39 * (1 + $A$18 * (1 - $A$19)) - (($A$17 * 12) * (1 + $A$16)) / (1 - $A$19)&lt;0,"",K39 * (1 + $A$18 * (1 - $A$19)) - (($A$17 * 12) * (1 + $A$16)) / (1 - $A$19)),"")</f>
        <v/>
      </c>
    </row>
    <row r="41" customFormat="false" ht="12.8" hidden="false" customHeight="false" outlineLevel="0" collapsed="false">
      <c r="F41" s="59"/>
      <c r="G41" s="4" t="str">
        <f aca="false">IFERROR(IF(SUM(I41 * A$18)&lt;1,"",SUM(I41 * A$18)),"")</f>
        <v/>
      </c>
      <c r="I41" s="4" t="str">
        <f aca="false">IFERROR(IF(I40*(1+$A$18) - ($M$1) * (1+$A$16)^ROW()&lt;0,"",I40*(1+$A$18) - ($M$1) * (1+$A$16)^ROW()),"")</f>
        <v/>
      </c>
      <c r="K41" s="4" t="str">
        <f aca="false">IFERROR(IF(K40 * (1 + $A$18 * (1 - $A$19)) - (($A$17 * 12) * (1 + $A$16)) / (1 - $A$19)&lt;0,"",K40 * (1 + $A$18 * (1 - $A$19)) - (($A$17 * 12) * (1 + $A$16)) / (1 - $A$19)),"")</f>
        <v/>
      </c>
    </row>
    <row r="42" customFormat="false" ht="12.8" hidden="false" customHeight="false" outlineLevel="0" collapsed="false">
      <c r="F42" s="59"/>
      <c r="G42" s="4" t="str">
        <f aca="false">IFERROR(IF(SUM(I42 * A$18)&lt;1,"",SUM(I42 * A$18)),"")</f>
        <v/>
      </c>
      <c r="I42" s="4" t="str">
        <f aca="false">IFERROR(IF(I41*(1+$A$18) - ($M$1) * (1+$A$16)^ROW()&lt;0,"",I41*(1+$A$18) - ($M$1) * (1+$A$16)^ROW()),"")</f>
        <v/>
      </c>
      <c r="K42" s="4" t="str">
        <f aca="false">IFERROR(IF(K41 * (1 + $A$18 * (1 - $A$19)) - (($A$17 * 12) * (1 + $A$16)) / (1 - $A$19)&lt;0,"",K41 * (1 + $A$18 * (1 - $A$19)) - (($A$17 * 12) * (1 + $A$16)) / (1 - $A$19)),"")</f>
        <v/>
      </c>
    </row>
    <row r="43" customFormat="false" ht="12.8" hidden="false" customHeight="false" outlineLevel="0" collapsed="false">
      <c r="F43" s="59"/>
      <c r="G43" s="4" t="str">
        <f aca="false">IFERROR(IF(SUM(I43 * A$18)&lt;1,"",SUM(I43 * A$18)),"")</f>
        <v/>
      </c>
      <c r="I43" s="4" t="str">
        <f aca="false">IFERROR(IF(I42*(1+$A$18) - ($M$1) * (1+$A$16)^ROW()&lt;0,"",I42*(1+$A$18) - ($M$1) * (1+$A$16)^ROW()),"")</f>
        <v/>
      </c>
      <c r="K43" s="4" t="str">
        <f aca="false">IFERROR(IF(K42 * (1 + $A$18 * (1 - $A$19)) - (($A$17 * 12) * (1 + $A$16)) / (1 - $A$19)&lt;0,"",K42 * (1 + $A$18 * (1 - $A$19)) - (($A$17 * 12) * (1 + $A$16)) / (1 - $A$19)),"")</f>
        <v/>
      </c>
    </row>
    <row r="44" customFormat="false" ht="12.8" hidden="false" customHeight="false" outlineLevel="0" collapsed="false">
      <c r="F44" s="59"/>
      <c r="G44" s="4" t="str">
        <f aca="false">IFERROR(IF(SUM(I44 * A$18)&lt;1,"",SUM(I44 * A$18)),"")</f>
        <v/>
      </c>
      <c r="I44" s="4" t="str">
        <f aca="false">IFERROR(IF(I43*(1+$A$18) - ($M$1) * (1+$A$16)^ROW()&lt;0,"",I43*(1+$A$18) - ($M$1) * (1+$A$16)^ROW()),"")</f>
        <v/>
      </c>
      <c r="K44" s="4" t="str">
        <f aca="false">IFERROR(IF(K43 * (1 + $A$18 * (1 - $A$19)) - (($A$17 * 12) * (1 + $A$16)) / (1 - $A$19)&lt;0,"",K43 * (1 + $A$18 * (1 - $A$19)) - (($A$17 * 12) * (1 + $A$16)) / (1 - $A$19)),"")</f>
        <v/>
      </c>
    </row>
    <row r="45" customFormat="false" ht="12.8" hidden="false" customHeight="false" outlineLevel="0" collapsed="false">
      <c r="B45" s="60"/>
      <c r="C45" s="60"/>
      <c r="G45" s="4" t="str">
        <f aca="false">IFERROR(IF(SUM(I45 * A$18)&lt;1,"",SUM(I45 * A$18)),"")</f>
        <v/>
      </c>
      <c r="I45" s="4" t="str">
        <f aca="false">IFERROR(IF(I44*(1+$A$18) - ($M$1) * (1+$A$16)^ROW()&lt;0,"",I44*(1+$A$18) - ($M$1) * (1+$A$16)^ROW()),"")</f>
        <v/>
      </c>
      <c r="K45" s="4" t="str">
        <f aca="false">IFERROR(IF(K44 * (1 + $A$18 * (1 - $A$19)) - (($A$17 * 12) * (1 + $A$16)) / (1 - $A$19)&lt;0,"",K44 * (1 + $A$18 * (1 - $A$19)) - (($A$17 * 12) * (1 + $A$16)) / (1 - $A$19)),"")</f>
        <v/>
      </c>
    </row>
    <row r="46" customFormat="false" ht="12.8" hidden="false" customHeight="false" outlineLevel="0" collapsed="false">
      <c r="B46" s="60"/>
      <c r="G46" s="4" t="str">
        <f aca="false">IFERROR(IF(SUM(I46 * A$18)&lt;1,"",SUM(I46 * A$18)),"")</f>
        <v/>
      </c>
      <c r="I46" s="4" t="str">
        <f aca="false">IFERROR(IF(I45*(1+$A$18) - ($M$1) * (1+$A$16)^ROW()&lt;0,"",I45*(1+$A$18) - ($M$1) * (1+$A$16)^ROW()),"")</f>
        <v/>
      </c>
      <c r="K46" s="4" t="str">
        <f aca="false">IFERROR(IF(K45 * (1 + $A$18 * (1 - $A$19)) - (($A$17 * 12) * (1 + $A$16)) / (1 - $A$19)&lt;0,"",K45 * (1 + $A$18 * (1 - $A$19)) - (($A$17 * 12) * (1 + $A$16)) / (1 - $A$19)),"")</f>
        <v/>
      </c>
    </row>
    <row r="47" customFormat="false" ht="12.8" hidden="false" customHeight="false" outlineLevel="0" collapsed="false">
      <c r="G47" s="4" t="str">
        <f aca="false">IFERROR(IF(SUM(I47 * A$18)&lt;1,"",SUM(I47 * A$18)),"")</f>
        <v/>
      </c>
      <c r="I47" s="4" t="str">
        <f aca="false">IFERROR(IF(I46*(1+$A$18) - ($M$1) * (1+$A$16)^ROW()&lt;0,"",I46*(1+$A$18) - ($M$1) * (1+$A$16)^ROW()),"")</f>
        <v/>
      </c>
      <c r="K47" s="4" t="str">
        <f aca="false">IFERROR(IF(K46 * (1 + $A$18 * (1 - $A$19)) - (($A$17 * 12) * (1 + $A$16)) / (1 - $A$19)&lt;0,"",K46 * (1 + $A$18 * (1 - $A$19)) - (($A$17 * 12) * (1 + $A$16)) / (1 - $A$19)),"")</f>
        <v/>
      </c>
    </row>
    <row r="48" customFormat="false" ht="12.8" hidden="false" customHeight="false" outlineLevel="0" collapsed="false">
      <c r="G48" s="4" t="str">
        <f aca="false">IFERROR(IF(SUM(I48 * A$18)&lt;1,"",SUM(I48 * A$18)),"")</f>
        <v/>
      </c>
      <c r="I48" s="4" t="str">
        <f aca="false">IFERROR(IF(I47*(1+$A$18) - ($M$1) * (1+$A$16)^ROW()&lt;0,"",I47*(1+$A$18) - ($M$1) * (1+$A$16)^ROW()),"")</f>
        <v/>
      </c>
      <c r="K48" s="4" t="str">
        <f aca="false">IFERROR(IF(K47 * (1 + $A$18 * (1 - $A$19)) - (($A$17 * 12) * (1 + $A$16)) / (1 - $A$19)&lt;0,"",K47 * (1 + $A$18 * (1 - $A$19)) - (($A$17 * 12) * (1 + $A$16)) / (1 - $A$19)),"")</f>
        <v/>
      </c>
    </row>
    <row r="49" customFormat="false" ht="12.8" hidden="false" customHeight="false" outlineLevel="0" collapsed="false">
      <c r="G49" s="4" t="str">
        <f aca="false">IFERROR(IF(SUM(I49 * A$18)&lt;1,"",SUM(I49 * A$18)),"")</f>
        <v/>
      </c>
      <c r="I49" s="4" t="str">
        <f aca="false">IFERROR(IF(I48*(1+$A$18) - ($M$1) * (1+$A$16)^ROW()&lt;0,"",I48*(1+$A$18) - ($M$1) * (1+$A$16)^ROW()),"")</f>
        <v/>
      </c>
      <c r="K49" s="4" t="str">
        <f aca="false">IFERROR(IF(K48 * (1 + $A$18 * (1 - $A$19)) - (($A$17 * 12) * (1 + $A$16)) / (1 - $A$19)&lt;0,"",K48 * (1 + $A$18 * (1 - $A$19)) - (($A$17 * 12) * (1 + $A$16)) / (1 - $A$19)),"")</f>
        <v/>
      </c>
    </row>
    <row r="50" customFormat="false" ht="12.8" hidden="false" customHeight="false" outlineLevel="0" collapsed="false">
      <c r="G50" s="4" t="str">
        <f aca="false">IFERROR(IF(SUM(I50 * A$18)&lt;1,"",SUM(I50 * A$18)),"")</f>
        <v/>
      </c>
      <c r="I50" s="4" t="str">
        <f aca="false">IFERROR(IF(I49*(1+$A$18) - ($M$1) * (1+$A$16)^ROW()&lt;0,"",I49*(1+$A$18) - ($M$1) * (1+$A$16)^ROW()),"")</f>
        <v/>
      </c>
      <c r="K50" s="4" t="str">
        <f aca="false">IFERROR(IF(K49 * (1 + $A$18 * (1 - $A$19)) - (($A$17 * 12) * (1 + $A$16)) / (1 - $A$19)&lt;0,"",K49 * (1 + $A$18 * (1 - $A$19)) - (($A$17 * 12) * (1 + $A$16)) / (1 - $A$19)),"")</f>
        <v/>
      </c>
      <c r="P50" s="60" t="e">
        <f aca="false">P51/P64</f>
        <v>#VALUE!</v>
      </c>
    </row>
    <row r="51" customFormat="false" ht="12.8" hidden="false" customHeight="false" outlineLevel="0" collapsed="false">
      <c r="G51" s="4" t="str">
        <f aca="false">IFERROR(IF(SUM(I51 * A$18)&lt;1,"",SUM(I51 * A$18)),"")</f>
        <v/>
      </c>
      <c r="I51" s="4" t="str">
        <f aca="false">IFERROR(IF(I50*(1+$A$18) - ($M$1) * (1+$A$16)^ROW()&lt;0,"",I50*(1+$A$18) - ($M$1) * (1+$A$16)^ROW()),"")</f>
        <v/>
      </c>
      <c r="K51" s="4" t="str">
        <f aca="false">IFERROR(IF(K50 * (1 + $A$18 * (1 - $A$19)) - (($A$17 * 12) * (1 + $A$16)) / (1 - $A$19)&lt;0,"",K50 * (1 + $A$18 * (1 - $A$19)) - (($A$17 * 12) * (1 + $A$16)) / (1 - $A$19)),"")</f>
        <v/>
      </c>
      <c r="P51" s="61" t="e">
        <f aca="false">(A17 * (1 + P62)^P57)</f>
        <v>#DIV/0!</v>
      </c>
    </row>
    <row r="52" customFormat="false" ht="12.8" hidden="false" customHeight="false" outlineLevel="0" collapsed="false">
      <c r="G52" s="4" t="str">
        <f aca="false">IFERROR(IF(SUM(I52 * A$18)&lt;1,"",SUM(I52 * A$18)),"")</f>
        <v/>
      </c>
      <c r="I52" s="4" t="str">
        <f aca="false">IFERROR(IF(I51*(1+$A$18) - ($M$1) * (1+$A$16)^ROW()&lt;0,"",I51*(1+$A$18) - ($M$1) * (1+$A$16)^ROW()),"")</f>
        <v/>
      </c>
      <c r="K52" s="4" t="str">
        <f aca="false">IFERROR(IF(K51 * (1 + $A$18 * (1 - $A$19)) - (($A$17 * 12) * (1 + $A$16)) / (1 - $A$19)&lt;0,"",K51 * (1 + $A$18 * (1 - $A$19)) - (($A$17 * 12) * (1 + $A$16)) / (1 - $A$19)),"")</f>
        <v/>
      </c>
      <c r="P52" s="60" t="e">
        <f aca="false">A12*P57</f>
        <v>#DIV/0!</v>
      </c>
    </row>
    <row r="53" customFormat="false" ht="12.8" hidden="false" customHeight="false" outlineLevel="0" collapsed="false">
      <c r="G53" s="4" t="str">
        <f aca="false">IFERROR(IF(SUM(I53 * A$18)&lt;1,"",SUM(I53 * A$18)),"")</f>
        <v/>
      </c>
      <c r="I53" s="4" t="str">
        <f aca="false">IFERROR(IF(I52*(1+$A$18) - ($M$1) * (1+$A$16)^ROW()&lt;0,"",I52*(1+$A$18) - ($M$1) * (1+$A$16)^ROW()),"")</f>
        <v/>
      </c>
      <c r="K53" s="4" t="str">
        <f aca="false">IFERROR(IF(K52 * (1 + $A$18 * (1 - $A$19)) - (($A$17 * 12) * (1 + $A$16)) / (1 - $A$19)&lt;0,"",K52 * (1 + $A$18 * (1 - $A$19)) - (($A$17 * 12) * (1 + $A$16)) / (1 - $A$19)),"")</f>
        <v/>
      </c>
      <c r="P53" s="60"/>
    </row>
    <row r="54" customFormat="false" ht="13.4" hidden="false" customHeight="false" outlineLevel="0" collapsed="false">
      <c r="G54" s="4" t="str">
        <f aca="false">IFERROR(IF(SUM(I54 * A$18)&lt;1,"",SUM(I54 * A$18)),"")</f>
        <v/>
      </c>
      <c r="I54" s="4" t="str">
        <f aca="false">IFERROR(IF(I53*(1+$A$18) - ($M$1) * (1+$A$16)^ROW()&lt;0,"",I53*(1+$A$18) - ($M$1) * (1+$A$16)^ROW()),"")</f>
        <v/>
      </c>
      <c r="K54" s="4" t="str">
        <f aca="false">IFERROR(IF(K53 * (1 + $A$18 * (1 - $A$19)) - (($A$17 * 12) * (1 + $A$16)) / (1 - $A$19)&lt;0,"",K53 * (1 + $A$18 * (1 - $A$19)) - (($A$17 * 12) * (1 + $A$16)) / (1 - $A$19)),"")</f>
        <v/>
      </c>
      <c r="P54" s="60"/>
    </row>
    <row r="55" customFormat="false" ht="12.8" hidden="false" customHeight="false" outlineLevel="0" collapsed="false">
      <c r="G55" s="4" t="str">
        <f aca="false">IFERROR(IF(SUM(I55 * A$18)&lt;1,"",SUM(I55 * A$18)),"")</f>
        <v/>
      </c>
      <c r="I55" s="4" t="str">
        <f aca="false">IFERROR(IF(I54*(1+$A$18) - ($M$1) * (1+$A$16)^ROW()&lt;0,"",I54*(1+$A$18) - ($M$1) * (1+$A$16)^ROW()),"")</f>
        <v/>
      </c>
      <c r="K55" s="4" t="str">
        <f aca="false">IFERROR(IF(K54 * (1 + $A$18 * (1 - $A$19)) - (($A$17 * 12) * (1 + $A$16)) / (1 - $A$19)&lt;0,"",K54 * (1 + $A$18 * (1 - $A$19)) - (($A$17 * 12) * (1 + $A$16)) / (1 - $A$19)),"")</f>
        <v/>
      </c>
      <c r="P55" s="60" t="e">
        <f aca="false">A12 * (((1 + P62)^P57 - 1) / P62)</f>
        <v>#DIV/0!</v>
      </c>
    </row>
    <row r="56" customFormat="false" ht="12.8" hidden="false" customHeight="false" outlineLevel="0" collapsed="false">
      <c r="G56" s="4" t="str">
        <f aca="false">IFERROR(IF(SUM(I56 * A$18)&lt;1,"",SUM(I56 * A$18)),"")</f>
        <v/>
      </c>
      <c r="I56" s="4" t="str">
        <f aca="false">IFERROR(IF(I55*(1+$A$18) - ($M$1) * (1+$A$16)^ROW()&lt;0,"",I55*(1+$A$18) - ($M$1) * (1+$A$16)^ROW()),"")</f>
        <v/>
      </c>
      <c r="K56" s="4" t="str">
        <f aca="false">IFERROR(IF(K55 * (1 + $A$18 * (1 - $A$19)) - (($A$17 * 12) * (1 + $A$16)) / (1 - $A$19)&lt;0,"",K55 * (1 + $A$18 * (1 - $A$19)) - (($A$17 * 12) * (1 + $A$16)) / (1 - $A$19)),"")</f>
        <v/>
      </c>
      <c r="P56" s="62" t="e">
        <f aca="false">A21 * (1 + B1)^P57</f>
        <v>#DIV/0!</v>
      </c>
    </row>
    <row r="57" customFormat="false" ht="12.8" hidden="false" customHeight="false" outlineLevel="0" collapsed="false">
      <c r="G57" s="4" t="str">
        <f aca="false">IFERROR(IF(SUM(I57 * A$18)&lt;1,"",SUM(I57 * A$18)),"")</f>
        <v/>
      </c>
      <c r="I57" s="4" t="str">
        <f aca="false">IFERROR(IF(I56*(1+$A$18) - ($M$1) * (1+$A$16)^ROW()&lt;0,"",I56*(1+$A$18) - ($M$1) * (1+$A$16)^ROW()),"")</f>
        <v/>
      </c>
      <c r="K57" s="4" t="str">
        <f aca="false">IFERROR(IF(K56 * (1 + $A$18 * (1 - $A$19)) - (($A$17 * 12) * (1 + $A$16)) / (1 - $A$19)&lt;0,"",K56 * (1 + $A$18 * (1 - $A$19)) - (($A$17 * 12) * (1 + $A$16)) / (1 - $A$19)),"")</f>
        <v/>
      </c>
      <c r="P57" s="60" t="e">
        <f aca="false">P59*12</f>
        <v>#DIV/0!</v>
      </c>
    </row>
    <row r="58" customFormat="false" ht="12.8" hidden="false" customHeight="false" outlineLevel="0" collapsed="false">
      <c r="G58" s="4" t="str">
        <f aca="false">IFERROR(IF(SUM(I58 * A$18)&lt;1,"",SUM(I58 * A$18)),"")</f>
        <v/>
      </c>
      <c r="I58" s="4" t="str">
        <f aca="false">IFERROR(IF(I57*(1+$A$18) - ($M$1) * (1+$A$16)^ROW()&lt;0,"",I57*(1+$A$18) - ($M$1) * (1+$A$16)^ROW()),"")</f>
        <v/>
      </c>
      <c r="K58" s="4" t="str">
        <f aca="false">IFERROR(IF(K57 * (1 + $A$18 * (1 - $A$19)) - (($A$17 * 12) * (1 + $A$16)) / (1 - $A$19)&lt;0,"",K57 * (1 + $A$18 * (1 - $A$19)) - (($A$17 * 12) * (1 + $A$16)) / (1 - $A$19)),"")</f>
        <v/>
      </c>
      <c r="P58" s="63" t="e">
        <f aca="false">A12 * (((1 + P62)^P64 - 1) / P62)</f>
        <v>#VALUE!</v>
      </c>
    </row>
    <row r="59" customFormat="false" ht="12.8" hidden="false" customHeight="false" outlineLevel="0" collapsed="false">
      <c r="G59" s="4" t="str">
        <f aca="false">IFERROR(IF(SUM(I59 * A$18)&lt;1,"",SUM(I59 * A$18)),"")</f>
        <v/>
      </c>
      <c r="I59" s="4" t="str">
        <f aca="false">IFERROR(IF(I58*(1+$A$18) - ($A$17*12) * (1+$A$16)^ROW()&lt;0,"",I58*(1+$A$18) - ($A$17*12) * (1+$A$16)^ROW()),"")</f>
        <v/>
      </c>
      <c r="K59" s="4" t="str">
        <f aca="false">IFERROR(IF(K58 * (1 + $A$18 * (1 - $A$19)) - (($A$17 * 12) * (1 + $A$16)) / (1 - $A$19)&lt;0,"",K58 * (1 + $A$18 * (1 - $A$19)) - (($A$17 * 12) * (1 + $A$16)) / (1 - $A$19)),"")</f>
        <v/>
      </c>
      <c r="P59" s="64" t="e">
        <f aca="false">(NPER(P61,A12,A11,-A21,0))</f>
        <v>#DIV/0!</v>
      </c>
    </row>
    <row r="60" customFormat="false" ht="12.8" hidden="false" customHeight="false" outlineLevel="0" collapsed="false">
      <c r="G60" s="4" t="str">
        <f aca="false">IFERROR(IF(SUM(I60 * A$18)&lt;1,"",SUM(I60 * A$18)),"")</f>
        <v/>
      </c>
      <c r="I60" s="4" t="str">
        <f aca="false">IFERROR(IF(I59*(1+$A$18) - ($A$17*12) * (1+$A$16)^ROW()&lt;0,"",I59*(1+$A$18) - ($A$17*12) * (1+$A$16)^ROW()),"")</f>
        <v/>
      </c>
      <c r="K60" s="4" t="str">
        <f aca="false">IFERROR(IF(K59 * (1 + $A$18 * (1 - $A$19)) - (($A$17 * 12) * (1 + $A$16)) / (1 - $A$19)&lt;0,"",K59 * (1 + $A$18 * (1 - $A$19)) - (($A$17 * 12) * (1 + $A$16)) / (1 - $A$19)),"")</f>
        <v/>
      </c>
      <c r="P60" s="64" t="e">
        <f aca="false">A12*(P59*P59)</f>
        <v>#DIV/0!</v>
      </c>
    </row>
    <row r="61" customFormat="false" ht="12.8" hidden="false" customHeight="false" outlineLevel="0" collapsed="false">
      <c r="G61" s="4" t="str">
        <f aca="false">IFERROR(IF(SUM(I61 * A$18)&lt;1,"",SUM(I61 * A$18)),"")</f>
        <v/>
      </c>
      <c r="I61" s="4" t="str">
        <f aca="false">IFERROR(IF(I60*(1+$A$18) - ($A$17*12) * (1+$A$16)^ROW()&lt;0,"",I60*(1+$A$18) - ($A$17*12) * (1+$A$16)^ROW()),"")</f>
        <v/>
      </c>
      <c r="K61" s="4" t="str">
        <f aca="false">IFERROR(IF(K60 * (1 + $A$18 * (1 - $A$19)) - (($A$17 * 12) * (1 + $A$16)) / (1 - $A$19)&lt;0,"",K60 * (1 + $A$18 * (1 - $A$19)) - (($A$17 * 12) * (1 + $A$16)) / (1 - $A$19)),"")</f>
        <v/>
      </c>
      <c r="P61" s="65" t="n">
        <f aca="false">(1+A15)/(1+A16)-1</f>
        <v>0</v>
      </c>
    </row>
    <row r="62" customFormat="false" ht="12.8" hidden="false" customHeight="false" outlineLevel="0" collapsed="false">
      <c r="G62" s="4" t="str">
        <f aca="false">IFERROR(IF(SUM(I62 * A$18)&lt;1,"",SUM(I62 * A$18)),"")</f>
        <v/>
      </c>
      <c r="I62" s="4" t="str">
        <f aca="false">IFERROR(IF(I61*(1+$A$18) - ($A$17*12) * (1+$A$16)^ROW()&lt;0,"",I61*(1+$A$18) - ($A$17*12) * (1+$A$16)^ROW()),"")</f>
        <v/>
      </c>
      <c r="K62" s="4" t="str">
        <f aca="false">IFERROR(IF(K61 * (1 + $A$18 * (1 - $A$19)) - (($A$17 * 12) * (1 + $A$16)) / (1 - $A$19)&lt;0,"",K61 * (1 + $A$18 * (1 - $A$19)) - (($A$17 * 12) * (1 + $A$16)) / (1 - $A$19)),"")</f>
        <v/>
      </c>
      <c r="P62" s="66" t="n">
        <f aca="false">(1 + A18)^(1/12) - 1</f>
        <v>0</v>
      </c>
    </row>
    <row r="63" customFormat="false" ht="12.8" hidden="false" customHeight="false" outlineLevel="0" collapsed="false">
      <c r="G63" s="4" t="str">
        <f aca="false">IFERROR(IF(SUM(I63 * A$18)&lt;1,"",SUM(I63 * A$18)),"")</f>
        <v/>
      </c>
      <c r="I63" s="4" t="str">
        <f aca="false">IFERROR(IF(I62*(1+$A$18) - ($A$17*12) * (1+$A$16)^ROW()&lt;0,"",I62*(1+$A$18) - ($A$17*12) * (1+$A$16)^ROW()),"")</f>
        <v/>
      </c>
      <c r="K63" s="4" t="str">
        <f aca="false">IFERROR(IF(K62 * (1 + $A$18 * (1 - $A$19)) - (($A$17 * 12) * (1 + $A$16)) / (1 - $A$19)&lt;0,"",K62 * (1 + $A$18 * (1 - $A$19)) - (($A$17 * 12) * (1 + $A$16)) / (1 - $A$19)),"")</f>
        <v/>
      </c>
      <c r="P63" s="67" t="s">
        <v>8</v>
      </c>
    </row>
    <row r="64" customFormat="false" ht="12.8" hidden="false" customHeight="false" outlineLevel="0" collapsed="false">
      <c r="G64" s="4" t="str">
        <f aca="false">IFERROR(IF(SUM(I64 * A$18)&lt;1,"",SUM(I64 * A$18)),"")</f>
        <v/>
      </c>
      <c r="I64" s="4" t="str">
        <f aca="false">IFERROR(IF(I63*(1+$A$18) - ($A$17*12) * (1+$A$16)^ROW()&lt;0,"",I63*(1+$A$18) - ($A$17*12) * (1+$A$16)^ROW()),"")</f>
        <v/>
      </c>
      <c r="K64" s="4" t="str">
        <f aca="false">IFERROR(IF(K63 * (1 + $A$18 * (1 - $A$19)) - (($A$17 * 12) * (1 + $A$16)) / (1 - $A$19)&lt;0,"",K63 * (1 + $A$18 * (1 - $A$19)) - (($A$17 * 12) * (1 + $A$16)) / (1 - $A$19)),"")</f>
        <v/>
      </c>
      <c r="P64" s="64" t="e">
        <f aca="false">A20 * 12</f>
        <v>#VALUE!</v>
      </c>
    </row>
    <row r="65" customFormat="false" ht="12.8" hidden="false" customHeight="false" outlineLevel="0" collapsed="false">
      <c r="G65" s="4" t="str">
        <f aca="false">IFERROR(IF(SUM(I65 * A$18)&lt;1,"",SUM(I65 * A$18)),"")</f>
        <v/>
      </c>
      <c r="I65" s="4" t="str">
        <f aca="false">IFERROR(IF(I64*(1+$A$18) - ($A$17*12) * (1+$A$16)^ROW()&lt;0,"",I64*(1+$A$18) - ($A$17*12) * (1+$A$16)^ROW()),"")</f>
        <v/>
      </c>
      <c r="K65" s="4" t="str">
        <f aca="false">IFERROR(IF(K64 * (1 + $A$18 * (1 - $A$19)) - (($A$17 * 12) * (1 + $A$16)) / (1 - $A$19)&lt;0,"",K64 * (1 + $A$18 * (1 - $A$19)) - (($A$17 * 12) * (1 + $A$16)) / (1 - $A$19)),"")</f>
        <v/>
      </c>
      <c r="P65" s="64" t="e">
        <f aca="false">(A11 * P62 / (1 - (1 + P62)^(-P64)))*(1-A16)</f>
        <v>#VALUE!</v>
      </c>
    </row>
    <row r="66" customFormat="false" ht="12.8" hidden="false" customHeight="false" outlineLevel="0" collapsed="false">
      <c r="G66" s="4" t="str">
        <f aca="false">IFERROR(IF(SUM(I66 * A$18)&lt;1,"",SUM(I66 * A$18)),"")</f>
        <v/>
      </c>
      <c r="I66" s="4" t="str">
        <f aca="false">IFERROR(IF(I65*(1+$A$18) - ($A$17*12) * (1+$A$16)^ROW()&lt;0,"",I65*(1+$A$18) - ($A$17*12) * (1+$A$16)^ROW()),"")</f>
        <v/>
      </c>
      <c r="K66" s="4" t="str">
        <f aca="false">IFERROR(IF(K65 * (1 + $A$18 * (1 - $A$19)) - (($A$17 * 12) * (1 + $A$16)) / (1 - $A$19)&lt;0,"",K65 * (1 + $A$18 * (1 - $A$19)) - (($A$17 * 12) * (1 + $A$16)) / (1 - $A$19)),"")</f>
        <v/>
      </c>
      <c r="P66" s="60" t="e">
        <f aca="false">(P65*P64/B17)*(1-A16)</f>
        <v>#VALUE!</v>
      </c>
    </row>
    <row r="67" customFormat="false" ht="12.8" hidden="false" customHeight="false" outlineLevel="0" collapsed="false">
      <c r="G67" s="4" t="str">
        <f aca="false">IFERROR(IF(SUM(I67 * A$18)&lt;1,"",SUM(I67 * A$18)),"")</f>
        <v/>
      </c>
      <c r="I67" s="4" t="str">
        <f aca="false">IFERROR(IF(I66*(1+$A$18) - ($A$17*12) * (1+$A$16)^ROW()&lt;0,"",I66*(1+$A$18) - ($A$17*12) * (1+$A$16)^ROW()),"")</f>
        <v/>
      </c>
      <c r="K67" s="4" t="str">
        <f aca="false">IFERROR(IF(K66 * (1 + $A$18 * (1 - $A$19)) - (($A$17 * 12) * (1 + $A$16)) / (1 - $A$19)&lt;0,"",K66 * (1 + $A$18 * (1 - $A$19)) - (($A$17 * 12) * (1 + $A$16)) / (1 - $A$19)),"")</f>
        <v/>
      </c>
      <c r="P67" s="60" t="e">
        <f aca="false">P58 + (A21 * (1 + P62)^P64) - (A12 / P62) * (1 - (1 + P62)^(-P64))</f>
        <v>#VALUE!</v>
      </c>
    </row>
    <row r="68" customFormat="false" ht="12.8" hidden="false" customHeight="false" outlineLevel="0" collapsed="false">
      <c r="G68" s="4" t="str">
        <f aca="false">IFERROR(IF(SUM(I68 * A$18)&lt;1,"",SUM(I68 * A$18)),"")</f>
        <v/>
      </c>
      <c r="I68" s="4" t="str">
        <f aca="false">IFERROR(IF(I67*(1+$A$18) - ($A$17*12) * (1+$A$16)^ROW()&lt;0,"",I67*(1+$A$18) - ($A$17*12) * (1+$A$16)^ROW()),"")</f>
        <v/>
      </c>
      <c r="K68" s="4" t="str">
        <f aca="false">IFERROR(IF(K67 * (1 + $A$18 * (1 - $A$19)) - (($A$17 * 12) * (1 + $A$16)) / (1 - $A$19)&lt;0,"",K67 * (1 + $A$18 * (1 - $A$19)) - (($A$17 * 12) * (1 + $A$16)) / (1 - $A$19)),"")</f>
        <v/>
      </c>
      <c r="P68" s="60" t="e">
        <f aca="false">P67 * P62 / (1 - (1 + P62)^(-35))</f>
        <v>#VALUE!</v>
      </c>
    </row>
    <row r="69" customFormat="false" ht="12.8" hidden="false" customHeight="false" outlineLevel="0" collapsed="false">
      <c r="G69" s="4" t="str">
        <f aca="false">IFERROR(IF(SUM(I69 * A$18)&lt;1,"",SUM(I69 * A$18)),"")</f>
        <v/>
      </c>
      <c r="I69" s="4" t="str">
        <f aca="false">IFERROR(IF(I68*(1+$A$18) - ($A$17*12) * (1+$A$16)^ROW()&lt;0,"",I68*(1+$A$18) - ($A$17*12) * (1+$A$16)^ROW()),"")</f>
        <v/>
      </c>
      <c r="K69" s="4" t="str">
        <f aca="false">IFERROR(IF(K68 * (1 + $A$18 * (1 - $A$19)) - (($A$17 * 12) * (1 + $A$16)) / (1 - $A$19)&lt;0,"",K68 * (1 + $A$18 * (1 - $A$19)) - (($A$17 * 12) * (1 + $A$16)) / (1 - $A$19)),"")</f>
        <v/>
      </c>
      <c r="P69" s="60" t="e">
        <f aca="false">P67 * P62 / (1 - (1 + P62)^(-P64))</f>
        <v>#VALUE!</v>
      </c>
    </row>
    <row r="70" customFormat="false" ht="12.8" hidden="false" customHeight="false" outlineLevel="0" collapsed="false">
      <c r="G70" s="4" t="str">
        <f aca="false">IFERROR(IF(SUM(I70 * A$18)&lt;1,"",SUM(I70 * A$18)),"")</f>
        <v/>
      </c>
      <c r="I70" s="4" t="str">
        <f aca="false">IFERROR(IF(I69*(1+$A$18) - ($A$17*12) * (1+$A$16)^ROW()&lt;0,"",I69*(1+$A$18) - ($A$17*12) * (1+$A$16)^ROW()),"")</f>
        <v/>
      </c>
      <c r="K70" s="4" t="str">
        <f aca="false">IFERROR(IF(K69 * (1 + $A$18 * (1 - $A$19)) - (($A$17 * 12) * (1 + $A$16)) / (1 - $A$19)&lt;0,"",K69 * (1 + $A$18 * (1 - $A$19)) - (($A$17 * 12) * (1 + $A$16)) / (1 - $A$19)),"")</f>
        <v/>
      </c>
      <c r="P70" s="60"/>
    </row>
    <row r="71" customFormat="false" ht="12.8" hidden="false" customHeight="false" outlineLevel="0" collapsed="false">
      <c r="G71" s="4" t="str">
        <f aca="false">IFERROR(IF(SUM(I71 * A$18)&lt;1,"",SUM(I71 * A$18)),"")</f>
        <v/>
      </c>
      <c r="I71" s="4" t="str">
        <f aca="false">IFERROR(IF(I70*(1+$A$18) - ($A$17*12) * (1+$A$16)^ROW()&lt;0,"",I70*(1+$A$18) - ($A$17*12) * (1+$A$16)^ROW()),"")</f>
        <v/>
      </c>
      <c r="K71" s="4" t="str">
        <f aca="false">IFERROR(IF(K70 * (1 + $A$18 * (1 - $A$19)) - (($A$17 * 12) * (1 + $A$16)) / (1 - $A$19)&lt;0,"",K70 * (1 + $A$18 * (1 - $A$19)) - (($A$17 * 12) * (1 + $A$16)) / (1 - $A$19)),"")</f>
        <v/>
      </c>
    </row>
    <row r="72" customFormat="false" ht="12.8" hidden="false" customHeight="false" outlineLevel="0" collapsed="false">
      <c r="G72" s="4" t="str">
        <f aca="false">IFERROR(IF(SUM(I72 * A$18)&lt;1,"",SUM(I72 * A$18)),"")</f>
        <v/>
      </c>
      <c r="I72" s="4" t="str">
        <f aca="false">IFERROR(IF(I71*(1+$A$18) - ($A$17*12) * (1+$A$16)^ROW()&lt;0,"",I71*(1+$A$18) - ($A$17*12) * (1+$A$16)^ROW()),"")</f>
        <v/>
      </c>
      <c r="K72" s="4" t="str">
        <f aca="false">IFERROR(IF(K71 * (1 + $A$18 * (1 - $A$19)) - (($A$17 * 12) * (1 + $A$16)) / (1 - $A$19)&lt;0,"",K71 * (1 + $A$18 * (1 - $A$19)) - (($A$17 * 12) * (1 + $A$16)) / (1 - $A$19)),"")</f>
        <v/>
      </c>
    </row>
    <row r="73" customFormat="false" ht="12.8" hidden="false" customHeight="false" outlineLevel="0" collapsed="false">
      <c r="G73" s="4" t="str">
        <f aca="false">IFERROR(IF(SUM(I73 * A$18)&lt;1,"",SUM(I73 * A$18)),"")</f>
        <v/>
      </c>
      <c r="I73" s="4" t="str">
        <f aca="false">IFERROR(IF(I72*(1+$A$18) - ($A$17*12) * (1+$A$16)^ROW()&lt;0,"",I72*(1+$A$18) - ($A$17*12) * (1+$A$16)^ROW()),"")</f>
        <v/>
      </c>
      <c r="K73" s="4" t="str">
        <f aca="false">IFERROR(IF(K72 * (1 + $A$18 * (1 - $A$19)) - (($A$17 * 12) * (1 + $A$16)) / (1 - $A$19)&lt;0,"",K72 * (1 + $A$18 * (1 - $A$19)) - (($A$17 * 12) * (1 + $A$16)) / (1 - $A$19)),"")</f>
        <v/>
      </c>
      <c r="P73" s="1"/>
    </row>
    <row r="74" customFormat="false" ht="12.8" hidden="false" customHeight="false" outlineLevel="0" collapsed="false">
      <c r="G74" s="4" t="str">
        <f aca="false">IFERROR(IF(SUM(I74 * A$18)&lt;1,"",SUM(I74 * A$18)),"")</f>
        <v/>
      </c>
      <c r="I74" s="4" t="str">
        <f aca="false">IFERROR(IF(I73*(1+$A$18) - ($A$17*12) * (1+$A$16)^ROW()&lt;0,"",I73*(1+$A$18) - ($A$17*12) * (1+$A$16)^ROW()),"")</f>
        <v/>
      </c>
      <c r="K74" s="4" t="str">
        <f aca="false">IFERROR(IF(K73 * (1 + $A$18 * (1 - $A$19)) - (($A$17 * 12) * (1 + $A$16)) / (1 - $A$19)&lt;0,"",K73 * (1 + $A$18 * (1 - $A$19)) - (($A$17 * 12) * (1 + $A$16)) / (1 - $A$19)),"")</f>
        <v/>
      </c>
      <c r="P74" s="1"/>
    </row>
    <row r="75" customFormat="false" ht="12.8" hidden="false" customHeight="false" outlineLevel="0" collapsed="false">
      <c r="G75" s="4" t="str">
        <f aca="false">IFERROR(IF(SUM(I75 * A$18)&lt;1,"",SUM(I75 * A$18)),"")</f>
        <v/>
      </c>
      <c r="I75" s="4" t="str">
        <f aca="false">IFERROR(IF(I74*(1+$A$18) - ($A$17*12) * (1+$A$16)^ROW()&lt;0,"",I74*(1+$A$18) - ($A$17*12) * (1+$A$16)^ROW()),"")</f>
        <v/>
      </c>
      <c r="K75" s="4" t="str">
        <f aca="false">IFERROR(IF(K74 * (1 + $A$18 * (1 - $A$19)) - (($A$17 * 12) * (1 + $A$16)) / (1 - $A$19)&lt;0,"",K74 * (1 + $A$18 * (1 - $A$19)) - (($A$17 * 12) * (1 + $A$16)) / (1 - $A$19)),"")</f>
        <v/>
      </c>
      <c r="P75" s="1"/>
    </row>
    <row r="76" customFormat="false" ht="12.8" hidden="false" customHeight="false" outlineLevel="0" collapsed="false">
      <c r="G76" s="4" t="str">
        <f aca="false">IFERROR(IF(SUM(I76 * A$18)&lt;1,"",SUM(I76 * A$18)),"")</f>
        <v/>
      </c>
      <c r="I76" s="4" t="str">
        <f aca="false">IFERROR(IF(I75*(1+$A$18) - ($A$17*12) * (1+$A$16)^ROW()&lt;0,"",I75*(1+$A$18) - ($A$17*12) * (1+$A$16)^ROW()),"")</f>
        <v/>
      </c>
      <c r="K76" s="4" t="str">
        <f aca="false">IFERROR(IF(K75 * (1 + $A$18 * (1 - $A$19)) - (($A$17 * 12) * (1 + $A$16)) / (1 - $A$19)&lt;0,"",K75 * (1 + $A$18 * (1 - $A$19)) - (($A$17 * 12) * (1 + $A$16)) / (1 - $A$19)),"")</f>
        <v/>
      </c>
      <c r="P76" s="1"/>
    </row>
    <row r="77" customFormat="false" ht="12.8" hidden="false" customHeight="false" outlineLevel="0" collapsed="false">
      <c r="G77" s="4" t="str">
        <f aca="false">IFERROR(IF(SUM(I77 * A$18)&lt;1,"",SUM(I77 * A$18)),"")</f>
        <v/>
      </c>
      <c r="I77" s="4" t="str">
        <f aca="false">IFERROR(IF(I76*(1+$A$18) - ($A$17*12) * (1+$A$16)^ROW()&lt;0,"",I76*(1+$A$18) - ($A$17*12) * (1+$A$16)^ROW()),"")</f>
        <v/>
      </c>
      <c r="K77" s="4" t="str">
        <f aca="false">IFERROR(IF(K76 * (1 + $A$18 * (1 - $A$19)) - (($A$17 * 12) * (1 + $A$16)) / (1 - $A$19)&lt;0,"",K76 * (1 + $A$18 * (1 - $A$19)) - (($A$17 * 12) * (1 + $A$16)) / (1 - $A$19)),"")</f>
        <v/>
      </c>
      <c r="P77" s="1"/>
    </row>
    <row r="78" customFormat="false" ht="12.8" hidden="false" customHeight="false" outlineLevel="0" collapsed="false">
      <c r="G78" s="4" t="str">
        <f aca="false">IFERROR(IF(SUM(I78 * A$18)&lt;1,"",SUM(I78 * A$18)),"")</f>
        <v/>
      </c>
      <c r="I78" s="4" t="str">
        <f aca="false">IFERROR(IF(I77*(1+$A$18) - ($A$17*12) * (1+$A$16)^ROW()&lt;0,"",I77*(1+$A$18) - ($A$17*12) * (1+$A$16)^ROW()),"")</f>
        <v/>
      </c>
      <c r="K78" s="4" t="str">
        <f aca="false">IFERROR(IF(K77 * (1 + $A$18 * (1 - $A$19)) - (($A$17 * 12) * (1 + $A$16)) / (1 - $A$19)&lt;0,"",K77 * (1 + $A$18 * (1 - $A$19)) - (($A$17 * 12) * (1 + $A$16)) / (1 - $A$19)),"")</f>
        <v/>
      </c>
      <c r="P78" s="1"/>
    </row>
    <row r="79" customFormat="false" ht="12.8" hidden="false" customHeight="false" outlineLevel="0" collapsed="false">
      <c r="G79" s="4" t="str">
        <f aca="false">IFERROR(IF(SUM(I79 * A$18)&lt;1,"",SUM(I79 * A$18)),"")</f>
        <v/>
      </c>
      <c r="I79" s="4" t="str">
        <f aca="false">IFERROR(IF(I78*(1+$A$18) - ($A$17*12) * (1+$A$16)^ROW()&lt;0,"",I78*(1+$A$18) - ($A$17*12) * (1+$A$16)^ROW()),"")</f>
        <v/>
      </c>
      <c r="K79" s="4" t="str">
        <f aca="false">IFERROR(IF(K78 * (1 + $A$18 * (1 - $A$19)) - (($A$17 * 12) * (1 + $A$16)) / (1 - $A$19)&lt;0,"",K78 * (1 + $A$18 * (1 - $A$19)) - (($A$17 * 12) * (1 + $A$16)) / (1 - $A$19)),"")</f>
        <v/>
      </c>
      <c r="P79" s="1"/>
    </row>
    <row r="80" customFormat="false" ht="12.8" hidden="false" customHeight="false" outlineLevel="0" collapsed="false">
      <c r="G80" s="4" t="str">
        <f aca="false">IFERROR(IF(SUM(I80 * A$18)&lt;1,"",SUM(I80 * A$18)),"")</f>
        <v/>
      </c>
      <c r="I80" s="4" t="str">
        <f aca="false">IFERROR(IF(I79*(1+$A$18) - ($A$17*12) * (1+$A$16)^ROW()&lt;0,"",I79*(1+$A$18) - ($A$17*12) * (1+$A$16)^ROW()),"")</f>
        <v/>
      </c>
      <c r="K80" s="4" t="str">
        <f aca="false">IFERROR(IF(K79 * (1 + $A$18 * (1 - $A$19)) - (($A$17 * 12) * (1 + $A$16)) / (1 - $A$19)&lt;0,"",K79 * (1 + $A$18 * (1 - $A$19)) - (($A$17 * 12) * (1 + $A$16)) / (1 - $A$19)),"")</f>
        <v/>
      </c>
      <c r="P80" s="1"/>
    </row>
    <row r="81" customFormat="false" ht="12.8" hidden="false" customHeight="false" outlineLevel="0" collapsed="false">
      <c r="G81" s="4" t="str">
        <f aca="false">IFERROR(IF(SUM(I81 * A$18)&lt;1,"",SUM(I81 * A$18)),"")</f>
        <v/>
      </c>
      <c r="I81" s="4" t="str">
        <f aca="false">IFERROR(IF(I80*(1+$A$18) - ($A$17*12) * (1+$A$16)^ROW()&lt;0,"",I80*(1+$A$18) - ($A$17*12) * (1+$A$16)^ROW()),"")</f>
        <v/>
      </c>
      <c r="K81" s="4" t="str">
        <f aca="false">IFERROR(IF(K80 * (1 + $A$18 * (1 - $A$19)) - (($A$17 * 12) * (1 + $A$16)) / (1 - $A$19)&lt;0,"",K80 * (1 + $A$18 * (1 - $A$19)) - (($A$17 * 12) * (1 + $A$16)) / (1 - $A$19)),"")</f>
        <v/>
      </c>
      <c r="P81" s="1"/>
    </row>
    <row r="82" customFormat="false" ht="12.8" hidden="false" customHeight="false" outlineLevel="0" collapsed="false">
      <c r="G82" s="4" t="str">
        <f aca="false">IFERROR(IF(SUM(I82 * A$18)&lt;1,"",SUM(I82 * A$18)),"")</f>
        <v/>
      </c>
      <c r="I82" s="4" t="str">
        <f aca="false">IFERROR(IF(I81*(1+$A$18) - ($A$17*12) * (1+$A$16)^ROW()&lt;0,"",I81*(1+$A$18) - ($A$17*12) * (1+$A$16)^ROW()),"")</f>
        <v/>
      </c>
      <c r="K82" s="4" t="str">
        <f aca="false">IFERROR(IF(K81 * (1 + $A$18 * (1 - $A$19)) - (($A$17 * 12) * (1 + $A$16)) / (1 - $A$19)&lt;0,"",K81 * (1 + $A$18 * (1 - $A$19)) - (($A$17 * 12) * (1 + $A$16)) / (1 - $A$19)),"")</f>
        <v/>
      </c>
      <c r="P82" s="1"/>
    </row>
    <row r="83" customFormat="false" ht="12.8" hidden="false" customHeight="false" outlineLevel="0" collapsed="false">
      <c r="G83" s="4" t="str">
        <f aca="false">IFERROR(IF(SUM(I83 * A$18)&lt;1,"",SUM(I83 * A$18)),"")</f>
        <v/>
      </c>
      <c r="I83" s="4" t="str">
        <f aca="false">IFERROR(IF(I82*(1+$A$18) - ($A$17*12) * (1+$A$16)^ROW()&lt;0,"",I82*(1+$A$18) - ($A$17*12) * (1+$A$16)^ROW()),"")</f>
        <v/>
      </c>
      <c r="K83" s="4" t="str">
        <f aca="false">IFERROR(IF(K82 * (1 + $A$18 * (1 - $A$19)) - (($A$17 * 12) * (1 + $A$16)) / (1 - $A$19)&lt;0,"",K82 * (1 + $A$18 * (1 - $A$19)) - (($A$17 * 12) * (1 + $A$16)) / (1 - $A$19)),"")</f>
        <v/>
      </c>
      <c r="P83" s="1"/>
    </row>
    <row r="84" customFormat="false" ht="12.8" hidden="false" customHeight="false" outlineLevel="0" collapsed="false">
      <c r="G84" s="4" t="str">
        <f aca="false">IFERROR(IF(SUM(I84 * A$18)&lt;1,"",SUM(I84 * A$18)),"")</f>
        <v/>
      </c>
      <c r="I84" s="4" t="str">
        <f aca="false">IFERROR(IF(I83*(1+$A$18) - ($A$17*12) * (1+$A$16)^ROW()&lt;0,"",I83*(1+$A$18) - ($A$17*12) * (1+$A$16)^ROW()),"")</f>
        <v/>
      </c>
      <c r="K84" s="4" t="str">
        <f aca="false">IFERROR(IF(K83 * (1 + $A$18 * (1 - $A$19)) - (($A$17 * 12) * (1 + $A$16)) / (1 - $A$19)&lt;0,"",K83 * (1 + $A$18 * (1 - $A$19)) - (($A$17 * 12) * (1 + $A$16)) / (1 - $A$19)),"")</f>
        <v/>
      </c>
      <c r="P84" s="1"/>
    </row>
    <row r="85" customFormat="false" ht="12.8" hidden="false" customHeight="false" outlineLevel="0" collapsed="false">
      <c r="G85" s="4" t="str">
        <f aca="false">IFERROR(IF(SUM(I85 * A$18)&lt;1,"",SUM(I85 * A$18)),"")</f>
        <v/>
      </c>
      <c r="I85" s="4" t="str">
        <f aca="false">IFERROR(IF(I84*(1+$A$18) - ($A$17*12) * (1+$A$16)^ROW()&lt;0,"",I84*(1+$A$18) - ($A$17*12) * (1+$A$16)^ROW()),"")</f>
        <v/>
      </c>
      <c r="K85" s="4" t="str">
        <f aca="false">IFERROR(IF(K84 * (1 + $A$18 * (1 - $A$19)) - (($A$17 * 12) * (1 + $A$16)) / (1 - $A$19)&lt;0,"",K84 * (1 + $A$18 * (1 - $A$19)) - (($A$17 * 12) * (1 + $A$16)) / (1 - $A$19)),"")</f>
        <v/>
      </c>
      <c r="P85" s="1"/>
    </row>
    <row r="86" customFormat="false" ht="12.8" hidden="false" customHeight="false" outlineLevel="0" collapsed="false">
      <c r="G86" s="4" t="str">
        <f aca="false">IFERROR(IF(SUM(I86 * A$18)&lt;1,"",SUM(I86 * A$18)),"")</f>
        <v/>
      </c>
      <c r="I86" s="4" t="str">
        <f aca="false">IFERROR(IF(I85*(1+$A$18) - ($A$17*12) * (1+$A$16)^ROW()&lt;0,"",I85*(1+$A$18) - ($A$17*12) * (1+$A$16)^ROW()),"")</f>
        <v/>
      </c>
      <c r="K86" s="4" t="str">
        <f aca="false">IFERROR(IF(K85 * (1 + $A$18 * (1 - $A$19)) - (($A$17 * 12) * (1 + $A$16)) / (1 - $A$19)&lt;0,"",K85 * (1 + $A$18 * (1 - $A$19)) - (($A$17 * 12) * (1 + $A$16)) / (1 - $A$19)),"")</f>
        <v/>
      </c>
      <c r="P86" s="1"/>
    </row>
    <row r="87" customFormat="false" ht="12.8" hidden="false" customHeight="false" outlineLevel="0" collapsed="false">
      <c r="G87" s="4" t="str">
        <f aca="false">IFERROR(IF(SUM(I87 * A$18)&lt;1,"",SUM(I87 * A$18)),"")</f>
        <v/>
      </c>
      <c r="I87" s="4" t="str">
        <f aca="false">IFERROR(IF(I86*(1+$A$18) - ($A$17*12) * (1+$A$16)^ROW()&lt;0,"",I86*(1+$A$18) - ($A$17*12) * (1+$A$16)^ROW()),"")</f>
        <v/>
      </c>
      <c r="K87" s="4" t="str">
        <f aca="false">IFERROR(IF(K86 * (1 + $A$18 * (1 - $A$19)) - (($A$17 * 12) * (1 + $A$16)) / (1 - $A$19)&lt;0,"",K86 * (1 + $A$18 * (1 - $A$19)) - (($A$17 * 12) * (1 + $A$16)) / (1 - $A$19)),"")</f>
        <v/>
      </c>
      <c r="P87" s="1"/>
    </row>
    <row r="88" customFormat="false" ht="12.8" hidden="false" customHeight="false" outlineLevel="0" collapsed="false">
      <c r="G88" s="4" t="str">
        <f aca="false">IFERROR(IF(SUM(I88 * A$18)&lt;1,"",SUM(I88 * A$18)),"")</f>
        <v/>
      </c>
      <c r="I88" s="4" t="str">
        <f aca="false">IFERROR(IF(I87*(1+$A$18) - ($A$17*12) * (1+$A$16)^ROW()&lt;0,"",I87*(1+$A$18) - ($A$17*12) * (1+$A$16)^ROW()),"")</f>
        <v/>
      </c>
      <c r="K88" s="4" t="str">
        <f aca="false">IFERROR(IF(K87 * (1 + $A$18 * (1 - $A$19)) - (($A$17 * 12) * (1 + $A$16)) / (1 - $A$19)&lt;0,"",K87 * (1 + $A$18 * (1 - $A$19)) - (($A$17 * 12) * (1 + $A$16)) / (1 - $A$19)),"")</f>
        <v/>
      </c>
      <c r="P88" s="1"/>
    </row>
    <row r="89" customFormat="false" ht="12.8" hidden="false" customHeight="false" outlineLevel="0" collapsed="false">
      <c r="G89" s="4" t="str">
        <f aca="false">IFERROR(IF(SUM(I89 * A$18)&lt;1,"",SUM(I89 * A$18)),"")</f>
        <v/>
      </c>
      <c r="I89" s="4" t="str">
        <f aca="false">IFERROR(IF(I88*(1+$A$18) - ($A$17*12) * (1+$A$16)^ROW()&lt;0,"",I88*(1+$A$18) - ($A$17*12) * (1+$A$16)^ROW()),"")</f>
        <v/>
      </c>
      <c r="K89" s="4" t="str">
        <f aca="false">IFERROR(IF(K88 * (1 + $A$18 * (1 - $A$19)) - (($A$17 * 12) * (1 + $A$16)) / (1 - $A$19)&lt;0,"",K88 * (1 + $A$18 * (1 - $A$19)) - (($A$17 * 12) * (1 + $A$16)) / (1 - $A$19)),"")</f>
        <v/>
      </c>
      <c r="P89" s="1"/>
    </row>
    <row r="90" customFormat="false" ht="12.8" hidden="false" customHeight="false" outlineLevel="0" collapsed="false">
      <c r="G90" s="4" t="str">
        <f aca="false">IFERROR(IF(SUM(I90 * A$18)&lt;1,"",SUM(I90 * A$18)),"")</f>
        <v/>
      </c>
      <c r="I90" s="4" t="str">
        <f aca="false">IFERROR(IF(I89*(1+$A$18) - ($A$17*12) * (1+$A$16)^ROW()&lt;0,"",I89*(1+$A$18) - ($A$17*12) * (1+$A$16)^ROW()),"")</f>
        <v/>
      </c>
      <c r="K90" s="4" t="str">
        <f aca="false">IFERROR(IF(K89 * (1 + $A$18 * (1 - $A$19)) - (($A$17 * 12) * (1 + $A$16)) / (1 - $A$19)&lt;0,"",K89 * (1 + $A$18 * (1 - $A$19)) - (($A$17 * 12) * (1 + $A$16)) / (1 - $A$19)),"")</f>
        <v/>
      </c>
      <c r="P90" s="1"/>
    </row>
    <row r="91" customFormat="false" ht="12.8" hidden="false" customHeight="false" outlineLevel="0" collapsed="false">
      <c r="G91" s="4" t="str">
        <f aca="false">IFERROR(IF(SUM(I91 * A$18)&lt;1,"",SUM(I91 * A$18)),"")</f>
        <v/>
      </c>
      <c r="I91" s="4" t="str">
        <f aca="false">IFERROR(IF(I90*(1+$A$18) - ($A$17*12) * (1+$A$16)^ROW()&lt;0,"",I90*(1+$A$18) - ($A$17*12) * (1+$A$16)^ROW()),"")</f>
        <v/>
      </c>
      <c r="K91" s="4" t="str">
        <f aca="false">IFERROR(IF(K90 * (1 + $A$18 * (1 - $A$19)) - (($A$17 * 12) * (1 + $A$16)) / (1 - $A$19)&lt;0,"",K90 * (1 + $A$18 * (1 - $A$19)) - (($A$17 * 12) * (1 + $A$16)) / (1 - $A$19)),"")</f>
        <v/>
      </c>
      <c r="P91" s="1"/>
    </row>
    <row r="92" customFormat="false" ht="12.8" hidden="false" customHeight="false" outlineLevel="0" collapsed="false">
      <c r="G92" s="4" t="str">
        <f aca="false">IFERROR(IF(SUM(I92 * A$18)&lt;1,"",SUM(I92 * A$18)),"")</f>
        <v/>
      </c>
      <c r="I92" s="4" t="str">
        <f aca="false">IFERROR(IF(I91*(1+$A$18) - ($A$17*12) * (1+$A$16)^ROW()&lt;0,"",I91*(1+$A$18) - ($A$17*12) * (1+$A$16)^ROW()),"")</f>
        <v/>
      </c>
      <c r="K92" s="4" t="str">
        <f aca="false">IFERROR(IF(K91 * (1 + $A$18 * (1 - $A$19)) - (($A$17 * 12) * (1 + $A$16)) / (1 - $A$19)&lt;0,"",K91 * (1 + $A$18 * (1 - $A$19)) - (($A$17 * 12) * (1 + $A$16)) / (1 - $A$19)),"")</f>
        <v/>
      </c>
      <c r="P92" s="1"/>
    </row>
    <row r="93" customFormat="false" ht="12.8" hidden="false" customHeight="false" outlineLevel="0" collapsed="false">
      <c r="G93" s="4" t="str">
        <f aca="false">IFERROR(IF(SUM(I93 * A$18)&lt;1,"",SUM(I93 * A$18)),"")</f>
        <v/>
      </c>
      <c r="I93" s="4" t="str">
        <f aca="false">IFERROR(IF(I92*(1+$A$18) - ($A$17*12) * (1+$A$16)^ROW()&lt;0,"",I92*(1+$A$18) - ($A$17*12) * (1+$A$16)^ROW()),"")</f>
        <v/>
      </c>
      <c r="K93" s="4" t="str">
        <f aca="false">IFERROR(IF(K92 * (1 + $A$18 * (1 - $A$19)) - (($A$17 * 12) * (1 + $A$16)) / (1 - $A$19)&lt;0,"",K92 * (1 + $A$18 * (1 - $A$19)) - (($A$17 * 12) * (1 + $A$16)) / (1 - $A$19)),"")</f>
        <v/>
      </c>
      <c r="P93" s="1"/>
    </row>
    <row r="94" customFormat="false" ht="12.8" hidden="false" customHeight="false" outlineLevel="0" collapsed="false">
      <c r="G94" s="4" t="str">
        <f aca="false">IFERROR(IF(SUM(I94 * A$18)&lt;1,"",SUM(I94 * A$18)),"")</f>
        <v/>
      </c>
      <c r="I94" s="4" t="str">
        <f aca="false">IFERROR(IF(I93*(1+$A$18) - ($A$17*12) * (1+$A$16)^ROW()&lt;0,"",I93*(1+$A$18) - ($A$17*12) * (1+$A$16)^ROW()),"")</f>
        <v/>
      </c>
      <c r="K94" s="4" t="str">
        <f aca="false">IFERROR(IF(K93 * (1 + $A$18 * (1 - $A$19)) - (($A$17 * 12) * (1 + $A$16)) / (1 - $A$19)&lt;0,"",K93 * (1 + $A$18 * (1 - $A$19)) - (($A$17 * 12) * (1 + $A$16)) / (1 - $A$19)),"")</f>
        <v/>
      </c>
      <c r="P94" s="1"/>
    </row>
    <row r="95" customFormat="false" ht="12.8" hidden="false" customHeight="false" outlineLevel="0" collapsed="false">
      <c r="G95" s="4" t="str">
        <f aca="false">IFERROR(IF(SUM(I95 * A$18)&lt;1,"",SUM(I95 * A$18)),"")</f>
        <v/>
      </c>
      <c r="I95" s="4" t="str">
        <f aca="false">IFERROR(IF(I94*(1+$A$18) - ($A$17*12) * (1+$A$16)^ROW()&lt;0,"",I94*(1+$A$18) - ($A$17*12) * (1+$A$16)^ROW()),"")</f>
        <v/>
      </c>
      <c r="K95" s="4" t="str">
        <f aca="false">IFERROR(IF(K94 * (1 + $A$18 * (1 - $A$19)) - (($A$17 * 12) * (1 + $A$16)) / (1 - $A$19)&lt;0,"",K94 * (1 + $A$18 * (1 - $A$19)) - (($A$17 * 12) * (1 + $A$16)) / (1 - $A$19)),"")</f>
        <v/>
      </c>
      <c r="P95" s="1"/>
    </row>
    <row r="96" customFormat="false" ht="12.8" hidden="false" customHeight="false" outlineLevel="0" collapsed="false">
      <c r="G96" s="4" t="str">
        <f aca="false">IFERROR(IF(SUM(I96 * A$18)&lt;1,"",SUM(I96 * A$18)),"")</f>
        <v/>
      </c>
      <c r="I96" s="4" t="str">
        <f aca="false">IFERROR(IF(I95*(1+$A$18) - ($A$17*12) * (1+$A$16)^ROW()&lt;0,"",I95*(1+$A$18) - ($A$17*12) * (1+$A$16)^ROW()),"")</f>
        <v/>
      </c>
      <c r="K96" s="4" t="str">
        <f aca="false">IFERROR(IF(K95 * (1 + $A$18 * (1 - $A$19)) - (($A$17 * 12) * (1 + $A$16)) / (1 - $A$19)&lt;0,"",K95 * (1 + $A$18 * (1 - $A$19)) - (($A$17 * 12) * (1 + $A$16)) / (1 - $A$19)),"")</f>
        <v/>
      </c>
      <c r="P96" s="1"/>
    </row>
    <row r="97" customFormat="false" ht="12.8" hidden="false" customHeight="false" outlineLevel="0" collapsed="false">
      <c r="G97" s="4" t="str">
        <f aca="false">IFERROR(IF(SUM(I97 * A$18)&lt;1,"",SUM(I97 * A$18)),"")</f>
        <v/>
      </c>
      <c r="I97" s="4" t="str">
        <f aca="false">IFERROR(IF(I96*(1+$A$18) - ($A$17*12) * (1+$A$16)^ROW()&lt;0,"",I96*(1+$A$18) - ($A$17*12) * (1+$A$16)^ROW()),"")</f>
        <v/>
      </c>
      <c r="K97" s="4" t="str">
        <f aca="false">IFERROR(IF(K96 * (1 + $A$18 * (1 - $A$19)) - (($A$17 * 12) * (1 + $A$16)) / (1 - $A$19)&lt;0,"",K96 * (1 + $A$18 * (1 - $A$19)) - (($A$17 * 12) * (1 + $A$16)) / (1 - $A$19)),"")</f>
        <v/>
      </c>
      <c r="P97" s="1"/>
    </row>
    <row r="98" customFormat="false" ht="12.8" hidden="false" customHeight="false" outlineLevel="0" collapsed="false">
      <c r="G98" s="4" t="str">
        <f aca="false">IFERROR(IF(SUM(I98 * A$18)&lt;1,"",SUM(I98 * A$18)),"")</f>
        <v/>
      </c>
      <c r="I98" s="4" t="str">
        <f aca="false">IFERROR(IF(I97*(1+$A$18) - ($A$17*12) * (1+$A$16)^ROW()&lt;0,"",I97*(1+$A$18) - ($A$17*12) * (1+$A$16)^ROW()),"")</f>
        <v/>
      </c>
      <c r="K98" s="4" t="str">
        <f aca="false">IFERROR(IF(K97 * (1 + $A$18 * (1 - $A$19)) - (($A$17 * 12) * (1 + $A$16)) / (1 - $A$19)&lt;0,"",K97 * (1 + $A$18 * (1 - $A$19)) - (($A$17 * 12) * (1 + $A$16)) / (1 - $A$19)),"")</f>
        <v/>
      </c>
      <c r="P98" s="1"/>
    </row>
    <row r="99" customFormat="false" ht="12.8" hidden="false" customHeight="false" outlineLevel="0" collapsed="false">
      <c r="G99" s="4" t="str">
        <f aca="false">IFERROR(IF(SUM(I99 * A$18)&lt;1,"",SUM(I99 * A$18)),"")</f>
        <v/>
      </c>
      <c r="I99" s="4" t="str">
        <f aca="false">IFERROR(IF(I98*(1+$A$18) - ($A$17*12) * (1+$A$16)^ROW()&lt;0,"",I98*(1+$A$18) - ($A$17*12) * (1+$A$16)^ROW()),"")</f>
        <v/>
      </c>
      <c r="K99" s="4" t="str">
        <f aca="false">IFERROR(IF(K98 * (1 + $A$18 * (1 - $A$19)) - (($A$17 * 12) * (1 + $A$16)) / (1 - $A$19)&lt;0,"",K98 * (1 + $A$18 * (1 - $A$19)) - (($A$17 * 12) * (1 + $A$16)) / (1 - $A$19)),"")</f>
        <v/>
      </c>
      <c r="P99" s="1"/>
    </row>
    <row r="100" customFormat="false" ht="12.8" hidden="false" customHeight="false" outlineLevel="0" collapsed="false">
      <c r="G100" s="4" t="str">
        <f aca="false">IFERROR(IF(SUM(I100 * A$18)&lt;1,"",SUM(I100 * A$18)),"")</f>
        <v/>
      </c>
      <c r="I100" s="4" t="str">
        <f aca="false">IFERROR(IF(I99*(1+$A$18) - ($A$17*12) * (1+$A$16)^ROW()&lt;0,"",I99*(1+$A$18) - ($A$17*12) * (1+$A$16)^ROW()),"")</f>
        <v/>
      </c>
      <c r="K100" s="4" t="str">
        <f aca="false">IFERROR(IF(K99 * (1 + $A$18 * (1 - $A$19)) - (($A$17 * 12) * (1 + $A$16)) / (1 - $A$19)&lt;0,"",K99 * (1 + $A$18 * (1 - $A$19)) - (($A$17 * 12) * (1 + $A$16)) / (1 - $A$19)),"")</f>
        <v/>
      </c>
      <c r="P100" s="1"/>
    </row>
    <row r="101" customFormat="false" ht="12.8" hidden="false" customHeight="false" outlineLevel="0" collapsed="false">
      <c r="G101" s="4" t="str">
        <f aca="false">IFERROR(IF(SUM(I101 * A$18)&lt;1,"",SUM(I101 * A$18)),"")</f>
        <v/>
      </c>
      <c r="I101" s="4" t="str">
        <f aca="false">IFERROR(IF(I100*(1+$A$18) - ($A$17*12) * (1+$A$16)^ROW()&lt;0,"",I100*(1+$A$18) - ($A$17*12) * (1+$A$16)^ROW()),"")</f>
        <v/>
      </c>
      <c r="K101" s="4" t="str">
        <f aca="false">IFERROR(IF(K100 * (1 + $A$18 * (1 - $A$19)) - (($A$17 * 12) * (1 + $A$16)) / (1 - $A$19)&lt;0,"",K100 * (1 + $A$18 * (1 - $A$19)) - (($A$17 * 12) * (1 + $A$16)) / (1 - $A$19)),"")</f>
        <v/>
      </c>
      <c r="P101" s="1"/>
    </row>
    <row r="102" customFormat="false" ht="12.8" hidden="false" customHeight="false" outlineLevel="0" collapsed="false">
      <c r="G102" s="4" t="str">
        <f aca="false">IFERROR(IF(SUM(I102 * A$18)&lt;1,"",SUM(I102 * A$18)),"")</f>
        <v/>
      </c>
      <c r="I102" s="4" t="str">
        <f aca="false">IFERROR(IF(I101*(1+$A$18) - ($A$17*12) * (1+$A$16)^ROW()&lt;0,"",I101*(1+$A$18) - ($A$17*12) * (1+$A$16)^ROW()),"")</f>
        <v/>
      </c>
      <c r="K102" s="4" t="str">
        <f aca="false">IFERROR(IF(K101 * (1 + $A$18 * (1 - $A$19)) - (($A$17 * 12) * (1 + $A$16)) / (1 - $A$19)&lt;0,"",K101 * (1 + $A$18 * (1 - $A$19)) - (($A$17 * 12) * (1 + $A$16)) / (1 - $A$19)),"")</f>
        <v/>
      </c>
    </row>
    <row r="103" customFormat="false" ht="12.8" hidden="false" customHeight="false" outlineLevel="0" collapsed="false">
      <c r="G103" s="4" t="str">
        <f aca="false">IFERROR(IF(SUM(I103 * A$18)&lt;1,"",SUM(I103 * A$18)),"")</f>
        <v/>
      </c>
      <c r="I103" s="4" t="str">
        <f aca="false">IFERROR(IF(I102*(1+$A$18) - ($A$17*12) * (1+$A$16)^ROW()&lt;0,"",I102*(1+$A$18) - ($A$17*12) * (1+$A$16)^ROW()),"")</f>
        <v/>
      </c>
      <c r="K103" s="4" t="str">
        <f aca="false">IFERROR(IF(K102 * (1 + $A$18 * (1 - $A$19)) - (($A$17 * 12) * (1 + $A$16)) / (1 - $A$19)&lt;0,"",K102 * (1 + $A$18 * (1 - $A$19)) - (($A$17 * 12) * (1 + $A$16)) / (1 - $A$19)),"")</f>
        <v/>
      </c>
    </row>
    <row r="104" customFormat="false" ht="12.8" hidden="false" customHeight="false" outlineLevel="0" collapsed="false">
      <c r="G104" s="4" t="str">
        <f aca="false">IFERROR(IF(SUM(I104 * A$18)&lt;1,"",SUM(I104 * A$18)),"")</f>
        <v/>
      </c>
      <c r="I104" s="4" t="str">
        <f aca="false">IFERROR(IF(I103*(1+$A$18) - ($A$17*12) * (1+$A$16)^ROW()&lt;0,"",I103*(1+$A$18) - ($A$17*12) * (1+$A$16)^ROW()),"")</f>
        <v/>
      </c>
      <c r="K104" s="4" t="str">
        <f aca="false">IFERROR(IF(K103 * (1 + $A$18 * (1 - $A$19)) - (($A$17 * 12) * (1 + $A$16)) / (1 - $A$19)&lt;0,"",K103 * (1 + $A$18 * (1 - $A$19)) - (($A$17 * 12) * (1 + $A$16)) / (1 - $A$19)),"")</f>
        <v/>
      </c>
    </row>
    <row r="105" customFormat="false" ht="12.8" hidden="false" customHeight="false" outlineLevel="0" collapsed="false">
      <c r="G105" s="4" t="str">
        <f aca="false">IFERROR(IF(SUM(I105 * A$18)&lt;1,"",SUM(I105 * A$18)),"")</f>
        <v/>
      </c>
      <c r="I105" s="4" t="str">
        <f aca="false">IFERROR(IF(I104*(1+$A$18) - ($A$17*12) * (1+$A$16)^ROW()&lt;0,"",I104*(1+$A$18) - ($A$17*12) * (1+$A$16)^ROW()),"")</f>
        <v/>
      </c>
      <c r="K105" s="4" t="str">
        <f aca="false">IFERROR(IF(K104 * (1 + $A$18 * (1 - $A$19)) - (($A$17 * 12) * (1 + $A$16)) / (1 - $A$19)&lt;0,"",K104 * (1 + $A$18 * (1 - $A$19)) - (($A$17 * 12) * (1 + $A$16)) / (1 - $A$19)),"")</f>
        <v/>
      </c>
    </row>
    <row r="106" customFormat="false" ht="12.8" hidden="false" customHeight="false" outlineLevel="0" collapsed="false">
      <c r="G106" s="4" t="str">
        <f aca="false">IFERROR(IF(SUM(I106 * A$18)&lt;1,"",SUM(I106 * A$18)),"")</f>
        <v/>
      </c>
      <c r="I106" s="4" t="str">
        <f aca="false">IFERROR(IF(I105*(1+$A$18) - ($A$17*12) * (1+$A$16)^ROW()&lt;0,"",I105*(1+$A$18) - ($A$17*12) * (1+$A$16)^ROW()),"")</f>
        <v/>
      </c>
      <c r="K106" s="4" t="str">
        <f aca="false">IFERROR(IF(K105 * (1 + $A$18 * (1 - $A$19)) - (($A$17 * 12) * (1 + $A$16)) / (1 - $A$19)&lt;0,"",K105 * (1 + $A$18 * (1 - $A$19)) - (($A$17 * 12) * (1 + $A$16)) / (1 - $A$19)),"")</f>
        <v/>
      </c>
    </row>
    <row r="107" customFormat="false" ht="12.8" hidden="false" customHeight="false" outlineLevel="0" collapsed="false">
      <c r="G107" s="4" t="str">
        <f aca="false">IFERROR(IF(SUM(I107 * A$18)&lt;1,"",SUM(I107 * A$18)),"")</f>
        <v/>
      </c>
      <c r="I107" s="4" t="str">
        <f aca="false">IFERROR(IF(I106*(1+$A$18) - ($A$17*12) * (1+$A$16)^ROW()&lt;0,"",I106*(1+$A$18) - ($A$17*12) * (1+$A$16)^ROW()),"")</f>
        <v/>
      </c>
      <c r="K107" s="4" t="str">
        <f aca="false">IFERROR(IF(K106 * (1 + $A$18 * (1 - $A$19)) - (($A$17 * 12) * (1 + $A$16)) / (1 - $A$19)&lt;0,"",K106 * (1 + $A$18 * (1 - $A$19)) - (($A$17 * 12) * (1 + $A$16)) / (1 - $A$19)),"")</f>
        <v/>
      </c>
    </row>
    <row r="108" customFormat="false" ht="12.8" hidden="false" customHeight="false" outlineLevel="0" collapsed="false">
      <c r="G108" s="4" t="str">
        <f aca="false">IFERROR(IF(SUM(I108 * A$18)&lt;1,"",SUM(I108 * A$18)),"")</f>
        <v/>
      </c>
      <c r="I108" s="4" t="str">
        <f aca="false">IFERROR(IF(I107*(1+$A$18) - ($A$17*12) * (1+$A$16)^ROW()&lt;0,"",I107*(1+$A$18) - ($A$17*12) * (1+$A$16)^ROW()),"")</f>
        <v/>
      </c>
      <c r="K108" s="4" t="str">
        <f aca="false">IFERROR(IF(K107 * (1 + $A$18 * (1 - $A$19)) - (($A$17 * 12) * (1 + $A$16)) / (1 - $A$19)&lt;0,"",K107 * (1 + $A$18 * (1 - $A$19)) - (($A$17 * 12) * (1 + $A$16)) / (1 - $A$19)),"")</f>
        <v/>
      </c>
    </row>
    <row r="109" customFormat="false" ht="12.8" hidden="false" customHeight="false" outlineLevel="0" collapsed="false">
      <c r="G109" s="4" t="str">
        <f aca="false">IFERROR(IF(SUM(I109 * A$18)&lt;1,"",SUM(I109 * A$18)),"")</f>
        <v/>
      </c>
      <c r="I109" s="4" t="str">
        <f aca="false">IFERROR(IF(I108*(1+$A$18) - ($A$17*12) * (1+$A$16)^ROW()&lt;0,"",I108*(1+$A$18) - ($A$17*12) * (1+$A$16)^ROW()),"")</f>
        <v/>
      </c>
      <c r="K109" s="4" t="str">
        <f aca="false">IFERROR(IF(K108 * (1 + $A$18 * (1 - $A$19)) - (($A$17 * 12) * (1 + $A$16)) / (1 - $A$19)&lt;0,"",K108 * (1 + $A$18 * (1 - $A$19)) - (($A$17 * 12) * (1 + $A$16)) / (1 - $A$19)),"")</f>
        <v/>
      </c>
    </row>
    <row r="110" customFormat="false" ht="12.8" hidden="false" customHeight="false" outlineLevel="0" collapsed="false">
      <c r="G110" s="4" t="str">
        <f aca="false">IFERROR(IF(SUM(I110 * A$18)&lt;1,"",SUM(I110 * A$18)),"")</f>
        <v/>
      </c>
      <c r="I110" s="4" t="str">
        <f aca="false">IFERROR(IF(I109*(1+$A$18) - ($A$17*12) * (1+$A$16)^ROW()&lt;0,"",I109*(1+$A$18) - ($A$17*12) * (1+$A$16)^ROW()),"")</f>
        <v/>
      </c>
      <c r="K110" s="4" t="str">
        <f aca="false">IFERROR(IF(K109 * (1 + $A$18 * (1 - $A$19)) - (($A$17 * 12) * (1 + $A$16)) / (1 - $A$19)&lt;0,"",K109 * (1 + $A$18 * (1 - $A$19)) - (($A$17 * 12) * (1 + $A$16)) / (1 - $A$19)),"")</f>
        <v/>
      </c>
    </row>
    <row r="111" customFormat="false" ht="12.8" hidden="false" customHeight="false" outlineLevel="0" collapsed="false">
      <c r="G111" s="4" t="str">
        <f aca="false">IFERROR(IF(SUM(I111 * A$18)&lt;1,"",SUM(I111 * A$18)),"")</f>
        <v/>
      </c>
      <c r="I111" s="4" t="str">
        <f aca="false">IFERROR(IF(I110*(1+$A$18) - ($A$17*12) * (1+$A$16)^ROW()&lt;0,"",I110*(1+$A$18) - ($A$17*12) * (1+$A$16)^ROW()),"")</f>
        <v/>
      </c>
      <c r="K111" s="4" t="str">
        <f aca="false">IFERROR(IF(K110 * (1 + $A$18 * (1 - $A$19)) - (($A$17 * 12) * (1 + $A$16)) / (1 - $A$19)&lt;0,"",K110 * (1 + $A$18 * (1 - $A$19)) - (($A$17 * 12) * (1 + $A$16)) / (1 - $A$19)),"")</f>
        <v/>
      </c>
    </row>
    <row r="112" customFormat="false" ht="12.8" hidden="false" customHeight="false" outlineLevel="0" collapsed="false">
      <c r="G112" s="4" t="str">
        <f aca="false">IFERROR(IF(SUM(I112 * A$18)&lt;1,"",SUM(I112 * A$18)),"")</f>
        <v/>
      </c>
      <c r="I112" s="4" t="str">
        <f aca="false">IFERROR(IF(I111*(1+$A$18) - ($A$17*12) * (1+$A$16)^ROW()&lt;0,"",I111*(1+$A$18) - ($A$17*12) * (1+$A$16)^ROW()),"")</f>
        <v/>
      </c>
      <c r="K112" s="4" t="str">
        <f aca="false">IFERROR(IF(K111 * (1 + $A$18 * (1 - $A$19)) - (($A$17 * 12) * (1 + $A$16)) / (1 - $A$19)&lt;0,"",K111 * (1 + $A$18 * (1 - $A$19)) - (($A$17 * 12) * (1 + $A$16)) / (1 - $A$19)),"")</f>
        <v/>
      </c>
    </row>
    <row r="113" customFormat="false" ht="12.8" hidden="false" customHeight="false" outlineLevel="0" collapsed="false">
      <c r="G113" s="4" t="str">
        <f aca="false">IFERROR(IF(SUM(I113 * A$18)&lt;1,"",SUM(I113 * A$18)),"")</f>
        <v/>
      </c>
      <c r="I113" s="4" t="str">
        <f aca="false">IFERROR(IF(I112*(1+$A$18) - ($A$17*12) * (1+$A$16)^ROW()&lt;0,"",I112*(1+$A$18) - ($A$17*12) * (1+$A$16)^ROW()),"")</f>
        <v/>
      </c>
      <c r="K113" s="4" t="str">
        <f aca="false">IFERROR(IF(K112 * (1 + $A$18 * (1 - $A$19)) - (($A$17 * 12) * (1 + $A$16)) / (1 - $A$19)&lt;0,"",K112 * (1 + $A$18 * (1 - $A$19)) - (($A$17 * 12) * (1 + $A$16)) / (1 - $A$19)),"")</f>
        <v/>
      </c>
    </row>
    <row r="114" customFormat="false" ht="12.8" hidden="false" customHeight="false" outlineLevel="0" collapsed="false">
      <c r="G114" s="4" t="str">
        <f aca="false">IFERROR(IF(SUM(I114 * A$18)&lt;1,"",SUM(I114 * A$18)),"")</f>
        <v/>
      </c>
      <c r="I114" s="4" t="str">
        <f aca="false">IFERROR(IF(I113*(1+$A$18) - ($A$17*12) * (1+$A$16)^ROW()&lt;0,"",I113*(1+$A$18) - ($A$17*12) * (1+$A$16)^ROW()),"")</f>
        <v/>
      </c>
      <c r="K114" s="4" t="str">
        <f aca="false">IFERROR(IF(K113 * (1 + $A$18 * (1 - $A$19)) - (($A$17 * 12) * (1 + $A$16)) / (1 - $A$19)&lt;0,"",K113 * (1 + $A$18 * (1 - $A$19)) - (($A$17 * 12) * (1 + $A$16)) / (1 - $A$19)),"")</f>
        <v/>
      </c>
    </row>
    <row r="115" customFormat="false" ht="12.8" hidden="false" customHeight="false" outlineLevel="0" collapsed="false">
      <c r="G115" s="4" t="str">
        <f aca="false">IFERROR(IF(SUM(I115 * A$18)&lt;1,"",SUM(I115 * A$18)),"")</f>
        <v/>
      </c>
      <c r="I115" s="4" t="str">
        <f aca="false">IFERROR(IF(I114*(1+$A$18) - ($A$17*12) * (1+$A$16)^ROW()&lt;0,"",I114*(1+$A$18) - ($A$17*12) * (1+$A$16)^ROW()),"")</f>
        <v/>
      </c>
      <c r="K115" s="4" t="str">
        <f aca="false">IFERROR(IF(K114 * (1 + $A$18 * (1 - $A$19)) - (($A$17 * 12) * (1 + $A$16)) / (1 - $A$19)&lt;0,"",K114 * (1 + $A$18 * (1 - $A$19)) - (($A$17 * 12) * (1 + $A$16)) / (1 - $A$19)),"")</f>
        <v/>
      </c>
    </row>
    <row r="116" customFormat="false" ht="12.8" hidden="false" customHeight="false" outlineLevel="0" collapsed="false">
      <c r="G116" s="4" t="str">
        <f aca="false">IFERROR(IF(SUM(I116 * A$18)&lt;1,"",SUM(I116 * A$18)),"")</f>
        <v/>
      </c>
      <c r="I116" s="4" t="str">
        <f aca="false">IFERROR(IF(I115*(1+$A$18) - ($A$17*12) * (1+$A$16)^ROW()&lt;0,"",I115*(1+$A$18) - ($A$17*12) * (1+$A$16)^ROW()),"")</f>
        <v/>
      </c>
      <c r="K116" s="4" t="str">
        <f aca="false">IFERROR(IF(K115 * (1 + $A$18 * (1 - $A$19)) - (($A$17 * 12) * (1 + $A$16)) / (1 - $A$19)&lt;0,"",K115 * (1 + $A$18 * (1 - $A$19)) - (($A$17 * 12) * (1 + $A$16)) / (1 - $A$19)),"")</f>
        <v/>
      </c>
    </row>
    <row r="117" customFormat="false" ht="12.8" hidden="false" customHeight="false" outlineLevel="0" collapsed="false">
      <c r="G117" s="4" t="str">
        <f aca="false">IFERROR(IF(SUM(I117 * A$18)&lt;1,"",SUM(I117 * A$18)),"")</f>
        <v/>
      </c>
      <c r="I117" s="4" t="str">
        <f aca="false">IFERROR(IF(I116*(1+$A$18) - ($A$17*12) * (1+$A$16)^ROW()&lt;0,"",I116*(1+$A$18) - ($A$17*12) * (1+$A$16)^ROW()),"")</f>
        <v/>
      </c>
      <c r="K117" s="4" t="str">
        <f aca="false">IFERROR(IF(K116 * (1 + $A$18 * (1 - $A$19)) - (($A$17 * 12) * (1 + $A$16)) / (1 - $A$19)&lt;0,"",K116 * (1 + $A$18 * (1 - $A$19)) - (($A$17 * 12) * (1 + $A$16)) / (1 - $A$19)),"")</f>
        <v/>
      </c>
    </row>
    <row r="118" customFormat="false" ht="12.8" hidden="false" customHeight="false" outlineLevel="0" collapsed="false">
      <c r="G118" s="4" t="str">
        <f aca="false">IFERROR(IF(SUM(I118 * A$18)&lt;1,"",SUM(I118 * A$18)),"")</f>
        <v/>
      </c>
      <c r="I118" s="4" t="str">
        <f aca="false">IFERROR(IF(I117*(1+$A$18) - ($A$17*12) * (1+$A$16)^ROW()&lt;0,"",I117*(1+$A$18) - ($A$17*12) * (1+$A$16)^ROW()),"")</f>
        <v/>
      </c>
      <c r="K118" s="4" t="str">
        <f aca="false">IFERROR(IF(K117 * (1 + $A$18 * (1 - $A$19)) - (($A$17 * 12) * (1 + $A$16)) / (1 - $A$19)&lt;0,"",K117 * (1 + $A$18 * (1 - $A$19)) - (($A$17 * 12) * (1 + $A$16)) / (1 - $A$19)),"")</f>
        <v/>
      </c>
    </row>
    <row r="119" customFormat="false" ht="12.8" hidden="false" customHeight="false" outlineLevel="0" collapsed="false">
      <c r="G119" s="4" t="str">
        <f aca="false">IFERROR(IF(SUM(I119 * A$18)&lt;1,"",SUM(I119 * A$18)),"")</f>
        <v/>
      </c>
      <c r="I119" s="4" t="str">
        <f aca="false">IFERROR(IF(I118*(1+$A$18) - ($A$17*12) * (1+$A$16)^ROW()&lt;0,"",I118*(1+$A$18) - ($A$17*12) * (1+$A$16)^ROW()),"")</f>
        <v/>
      </c>
      <c r="K119" s="4" t="str">
        <f aca="false">IFERROR(IF(K118 * (1 + $A$18 * (1 - $A$19)) - (($A$17 * 12) * (1 + $A$16)) / (1 - $A$19)&lt;0,"",K118 * (1 + $A$18 * (1 - $A$19)) - (($A$17 * 12) * (1 + $A$16)) / (1 - $A$19)),"")</f>
        <v/>
      </c>
    </row>
    <row r="120" customFormat="false" ht="12.8" hidden="false" customHeight="false" outlineLevel="0" collapsed="false">
      <c r="G120" s="4" t="str">
        <f aca="false">IFERROR(IF(SUM(I120 * A$18)&lt;1,"",SUM(I120 * A$18)),"")</f>
        <v/>
      </c>
      <c r="I120" s="4" t="str">
        <f aca="false">IFERROR(IF(I119*(1+$A$18) - ($A$17*12) * (1+$A$16)^ROW()&lt;0,"",I119*(1+$A$18) - ($A$17*12) * (1+$A$16)^ROW()),"")</f>
        <v/>
      </c>
      <c r="K120" s="4" t="str">
        <f aca="false">IFERROR(IF(K119 * (1 + $A$18 * (1 - $A$19)) - (($A$17 * 12) * (1 + $A$16)) / (1 - $A$19)&lt;0,"",K119 * (1 + $A$18 * (1 - $A$19)) - (($A$17 * 12) * (1 + $A$16)) / (1 - $A$19)),"")</f>
        <v/>
      </c>
    </row>
    <row r="121" customFormat="false" ht="12.8" hidden="false" customHeight="false" outlineLevel="0" collapsed="false">
      <c r="G121" s="4" t="str">
        <f aca="false">IFERROR(IF(SUM(I121 * A$18)&lt;1,"",SUM(I121 * A$18)),"")</f>
        <v/>
      </c>
      <c r="I121" s="4" t="str">
        <f aca="false">IFERROR(IF(I120*(1+$A$18) - ($A$17*12) * (1+$A$16)^ROW()&lt;0,"",I120*(1+$A$18) - ($A$17*12) * (1+$A$16)^ROW()),"")</f>
        <v/>
      </c>
      <c r="K121" s="4" t="str">
        <f aca="false">IFERROR(IF(K120 * (1 + $A$18 * (1 - $A$19)) - (($A$17 * 12) * (1 + $A$16)) / (1 - $A$19)&lt;0,"",K120 * (1 + $A$18 * (1 - $A$19)) - (($A$17 * 12) * (1 + $A$16)) / (1 - $A$19)),"")</f>
        <v/>
      </c>
    </row>
    <row r="122" customFormat="false" ht="12.8" hidden="false" customHeight="false" outlineLevel="0" collapsed="false">
      <c r="G122" s="4" t="str">
        <f aca="false">IFERROR(IF(SUM(I122 * A$18)&lt;1,"",SUM(I122 * A$18)),"")</f>
        <v/>
      </c>
      <c r="I122" s="4" t="str">
        <f aca="false">IFERROR(IF(I121*(1+$A$18) - ($A$17*12) * (1+$A$16)^ROW()&lt;0,"",I121*(1+$A$18) - ($A$17*12) * (1+$A$16)^ROW()),"")</f>
        <v/>
      </c>
      <c r="K122" s="4" t="str">
        <f aca="false">IFERROR(IF(K121 * (1 + $A$18 * (1 - $A$19)) - (($A$17 * 12) * (1 + $A$16)) / (1 - $A$19)&lt;0,"",K121 * (1 + $A$18 * (1 - $A$19)) - (($A$17 * 12) * (1 + $A$16)) / (1 - $A$19)),"")</f>
        <v/>
      </c>
    </row>
    <row r="123" customFormat="false" ht="12.8" hidden="false" customHeight="false" outlineLevel="0" collapsed="false">
      <c r="G123" s="4" t="str">
        <f aca="false">IFERROR(IF(SUM(I123 * A$18)&lt;1,"",SUM(I123 * A$18)),"")</f>
        <v/>
      </c>
      <c r="I123" s="4" t="str">
        <f aca="false">IFERROR(IF(I122*(1+$A$18) - ($A$17*12) * (1+$A$16)^ROW()&lt;0,"",I122*(1+$A$18) - ($A$17*12) * (1+$A$16)^ROW()),"")</f>
        <v/>
      </c>
      <c r="K123" s="4" t="str">
        <f aca="false">IFERROR(IF(K122 * (1 + $A$18 * (1 - $A$19)) - (($A$17 * 12) * (1 + $A$16)) / (1 - $A$19)&lt;0,"",K122 * (1 + $A$18 * (1 - $A$19)) - (($A$17 * 12) * (1 + $A$16)) / (1 - $A$19)),"")</f>
        <v/>
      </c>
    </row>
    <row r="124" customFormat="false" ht="12.8" hidden="false" customHeight="false" outlineLevel="0" collapsed="false">
      <c r="G124" s="4" t="str">
        <f aca="false">IFERROR(IF(SUM(I124 * A$18)&lt;1,"",SUM(I124 * A$18)),"")</f>
        <v/>
      </c>
      <c r="I124" s="4" t="str">
        <f aca="false">IFERROR(IF(I123*(1+$A$18) - ($A$17*12) * (1+$A$16)^ROW()&lt;0,"",I123*(1+$A$18) - ($A$17*12) * (1+$A$16)^ROW()),"")</f>
        <v/>
      </c>
      <c r="K124" s="4" t="str">
        <f aca="false">IFERROR(IF(K123 * (1 + $A$18 * (1 - $A$19)) - (($A$17 * 12) * (1 + $A$16)) / (1 - $A$19)&lt;0,"",K123 * (1 + $A$18 * (1 - $A$19)) - (($A$17 * 12) * (1 + $A$16)) / (1 - $A$19)),"")</f>
        <v/>
      </c>
    </row>
    <row r="125" customFormat="false" ht="12.8" hidden="false" customHeight="false" outlineLevel="0" collapsed="false">
      <c r="G125" s="4" t="str">
        <f aca="false">IFERROR(IF(SUM(I125 * A$18)&lt;1,"",SUM(I125 * A$18)),"")</f>
        <v/>
      </c>
      <c r="I125" s="4" t="str">
        <f aca="false">IFERROR(IF(I124*(1+$A$18) - ($A$17*12) * (1+$A$16)^ROW()&lt;0,"",I124*(1+$A$18) - ($A$17*12) * (1+$A$16)^ROW()),"")</f>
        <v/>
      </c>
      <c r="K125" s="4" t="str">
        <f aca="false">IFERROR(IF(K124 * (1 + $A$18 * (1 - $A$19)) - (($A$17 * 12) * (1 + $A$16)) / (1 - $A$19)&lt;0,"",K124 * (1 + $A$18 * (1 - $A$19)) - (($A$17 * 12) * (1 + $A$16)) / (1 - $A$19)),"")</f>
        <v/>
      </c>
    </row>
    <row r="126" customFormat="false" ht="12.8" hidden="false" customHeight="false" outlineLevel="0" collapsed="false">
      <c r="G126" s="4" t="str">
        <f aca="false">IFERROR(IF(SUM(I126 * A$18)&lt;1,"",SUM(I126 * A$18)),"")</f>
        <v/>
      </c>
      <c r="I126" s="4" t="str">
        <f aca="false">IFERROR(IF(I125*(1+$A$18) - ($A$17*12) * (1+$A$16)^ROW()&lt;0,"",I125*(1+$A$18) - ($A$17*12) * (1+$A$16)^ROW()),"")</f>
        <v/>
      </c>
      <c r="K126" s="4" t="str">
        <f aca="false">IFERROR(IF(K125 * (1 + $A$18 * (1 - $A$19)) - (($A$17 * 12) * (1 + $A$16)) / (1 - $A$19)&lt;0,"",K125 * (1 + $A$18 * (1 - $A$19)) - (($A$17 * 12) * (1 + $A$16)) / (1 - $A$19)),"")</f>
        <v/>
      </c>
    </row>
    <row r="127" customFormat="false" ht="12.8" hidden="false" customHeight="false" outlineLevel="0" collapsed="false">
      <c r="G127" s="4" t="str">
        <f aca="false">IFERROR(IF(SUM(I127 * A$18)&lt;1,"",SUM(I127 * A$18)),"")</f>
        <v/>
      </c>
      <c r="I127" s="4" t="str">
        <f aca="false">IFERROR(IF(I126*(1+$A$18) - ($A$17*12) * (1+$A$16)^ROW()&lt;0,"",I126*(1+$A$18) - ($A$17*12) * (1+$A$16)^ROW()),"")</f>
        <v/>
      </c>
      <c r="K127" s="4" t="str">
        <f aca="false">IFERROR(IF(K126 * (1 + $A$18 * (1 - $A$19)) - (($A$17 * 12) * (1 + $A$16)) / (1 - $A$19)&lt;0,"",K126 * (1 + $A$18 * (1 - $A$19)) - (($A$17 * 12) * (1 + $A$16)) / (1 - $A$19)),"")</f>
        <v/>
      </c>
    </row>
    <row r="128" customFormat="false" ht="12.8" hidden="false" customHeight="false" outlineLevel="0" collapsed="false">
      <c r="G128" s="4" t="str">
        <f aca="false">IFERROR(IF(SUM(I128 * A$18)&lt;1,"",SUM(I128 * A$18)),"")</f>
        <v/>
      </c>
      <c r="I128" s="4" t="str">
        <f aca="false">IFERROR(IF(I127*(1+$A$18) - ($A$17*12) * (1+$A$16)^ROW()&lt;0,"",I127*(1+$A$18) - ($A$17*12) * (1+$A$16)^ROW()),"")</f>
        <v/>
      </c>
      <c r="K128" s="4" t="str">
        <f aca="false">IFERROR(IF(K127 * (1 + $A$18 * (1 - $A$19)) - (($A$17 * 12) * (1 + $A$16)) / (1 - $A$19)&lt;0,"",K127 * (1 + $A$18 * (1 - $A$19)) - (($A$17 * 12) * (1 + $A$16)) / (1 - $A$19)),"")</f>
        <v/>
      </c>
    </row>
    <row r="129" customFormat="false" ht="12.8" hidden="false" customHeight="false" outlineLevel="0" collapsed="false">
      <c r="G129" s="4" t="str">
        <f aca="false">IFERROR(IF(SUM(I129 * A$18)&lt;1,"",SUM(I129 * A$18)),"")</f>
        <v/>
      </c>
      <c r="I129" s="4" t="str">
        <f aca="false">IFERROR(IF(I128*(1+$A$18) - ($A$17*12) * (1+$A$16)^ROW()&lt;0,"",I128*(1+$A$18) - ($A$17*12) * (1+$A$16)^ROW()),"")</f>
        <v/>
      </c>
      <c r="K129" s="4" t="str">
        <f aca="false">IFERROR(IF(K128 * (1 + $A$18 * (1 - $A$19)) - (($A$17 * 12) * (1 + $A$16)) / (1 - $A$19)&lt;0,"",K128 * (1 + $A$18 * (1 - $A$19)) - (($A$17 * 12) * (1 + $A$16)) / (1 - $A$19)),"")</f>
        <v/>
      </c>
    </row>
    <row r="130" customFormat="false" ht="12.8" hidden="false" customHeight="false" outlineLevel="0" collapsed="false">
      <c r="G130" s="4" t="str">
        <f aca="false">IFERROR(IF(SUM(I130 * A$18)&lt;1,"",SUM(I130 * A$18)),"")</f>
        <v/>
      </c>
      <c r="I130" s="4" t="str">
        <f aca="false">IFERROR(IF(I129*(1+$A$18) - ($A$17*12) * (1+$A$16)^ROW()&lt;0,"",I129*(1+$A$18) - ($A$17*12) * (1+$A$16)^ROW()),"")</f>
        <v/>
      </c>
      <c r="K130" s="4" t="str">
        <f aca="false">IFERROR(IF(K129 * (1 + $A$18 * (1 - $A$19)) - (($A$17 * 12) * (1 + $A$16)) / (1 - $A$19)&lt;0,"",K129 * (1 + $A$18 * (1 - $A$19)) - (($A$17 * 12) * (1 + $A$16)) / (1 - $A$19)),"")</f>
        <v/>
      </c>
    </row>
    <row r="131" customFormat="false" ht="12.8" hidden="false" customHeight="false" outlineLevel="0" collapsed="false">
      <c r="G131" s="4" t="str">
        <f aca="false">IFERROR(IF(SUM(I131 * A$18)&lt;1,"",SUM(I131 * A$18)),"")</f>
        <v/>
      </c>
      <c r="I131" s="4" t="str">
        <f aca="false">IFERROR(IF(I130*(1+$A$18) - ($A$17*12) * (1+$A$16)^ROW()&lt;0,"",I130*(1+$A$18) - ($A$17*12) * (1+$A$16)^ROW()),"")</f>
        <v/>
      </c>
      <c r="K131" s="4" t="str">
        <f aca="false">IFERROR(IF(K130 * (1 + $A$18 * (1 - $A$19)) - (($A$17 * 12) * (1 + $A$16)) / (1 - $A$19)&lt;0,"",K130 * (1 + $A$18 * (1 - $A$19)) - (($A$17 * 12) * (1 + $A$16)) / (1 - $A$19)),"")</f>
        <v/>
      </c>
    </row>
    <row r="132" customFormat="false" ht="12.8" hidden="false" customHeight="false" outlineLevel="0" collapsed="false">
      <c r="G132" s="4" t="str">
        <f aca="false">IFERROR(IF(SUM(I132 * A$18)&lt;1,"",SUM(I132 * A$18)),"")</f>
        <v/>
      </c>
      <c r="I132" s="4" t="str">
        <f aca="false">IFERROR(IF(I131*(1+$A$18) - ($A$17*12) * (1+$A$16)^ROW()&lt;0,"",I131*(1+$A$18) - ($A$17*12) * (1+$A$16)^ROW()),"")</f>
        <v/>
      </c>
      <c r="K132" s="4" t="str">
        <f aca="false">IFERROR(IF(K131 * (1 + $A$18 * (1 - $A$19)) - (($A$17 * 12) * (1 + $A$16)) / (1 - $A$19)&lt;0,"",K131 * (1 + $A$18 * (1 - $A$19)) - (($A$17 * 12) * (1 + $A$16)) / (1 - $A$19)),"")</f>
        <v/>
      </c>
    </row>
    <row r="133" customFormat="false" ht="12.8" hidden="false" customHeight="false" outlineLevel="0" collapsed="false">
      <c r="G133" s="4" t="str">
        <f aca="false">IFERROR(IF(SUM(I133 * A$18)&lt;1,"",SUM(I133 * A$18)),"")</f>
        <v/>
      </c>
      <c r="I133" s="4" t="str">
        <f aca="false">IFERROR(IF(I132*(1+$A$18) - ($A$17*12) * (1+$A$16)^ROW()&lt;0,"",I132*(1+$A$18) - ($A$17*12) * (1+$A$16)^ROW()),"")</f>
        <v/>
      </c>
      <c r="K133" s="4" t="str">
        <f aca="false">IFERROR(IF(K132 * (1 + $A$18 * (1 - $A$19)) - (($A$17 * 12) * (1 + $A$16)) / (1 - $A$19)&lt;0,"",K132 * (1 + $A$18 * (1 - $A$19)) - (($A$17 * 12) * (1 + $A$16)) / (1 - $A$19)),"")</f>
        <v/>
      </c>
    </row>
    <row r="134" customFormat="false" ht="12.8" hidden="false" customHeight="false" outlineLevel="0" collapsed="false">
      <c r="G134" s="4" t="str">
        <f aca="false">IFERROR(IF(SUM(I134 * A$18)&lt;1,"",SUM(I134 * A$18)),"")</f>
        <v/>
      </c>
      <c r="I134" s="4" t="str">
        <f aca="false">IFERROR(IF(I133*(1+$A$18) - ($A$17*12) * (1+$A$16)^ROW()&lt;0,"",I133*(1+$A$18) - ($A$17*12) * (1+$A$16)^ROW()),"")</f>
        <v/>
      </c>
      <c r="K134" s="4" t="str">
        <f aca="false">IFERROR(IF(K133 * (1 + $A$18 * (1 - $A$19)) - (($A$17 * 12) * (1 + $A$16)) / (1 - $A$19)&lt;0,"",K133 * (1 + $A$18 * (1 - $A$19)) - (($A$17 * 12) * (1 + $A$16)) / (1 - $A$19)),"")</f>
        <v/>
      </c>
    </row>
    <row r="135" customFormat="false" ht="12.8" hidden="false" customHeight="false" outlineLevel="0" collapsed="false">
      <c r="G135" s="4" t="str">
        <f aca="false">IFERROR(IF(SUM(I135 * A$18)&lt;1,"",SUM(I135 * A$18)),"")</f>
        <v/>
      </c>
      <c r="I135" s="4" t="str">
        <f aca="false">IFERROR(IF(I134*(1+$A$18) - ($A$17*12) * (1+$A$16)^ROW()&lt;0,"",I134*(1+$A$18) - ($A$17*12) * (1+$A$16)^ROW()),"")</f>
        <v/>
      </c>
      <c r="K135" s="4" t="str">
        <f aca="false">IFERROR(IF(K134 * (1 + $A$18 * (1 - $A$19)) - (($A$17 * 12) * (1 + $A$16)) / (1 - $A$19)&lt;0,"",K134 * (1 + $A$18 * (1 - $A$19)) - (($A$17 * 12) * (1 + $A$16)) / (1 - $A$19)),"")</f>
        <v/>
      </c>
    </row>
    <row r="136" customFormat="false" ht="12.8" hidden="false" customHeight="false" outlineLevel="0" collapsed="false">
      <c r="G136" s="4" t="str">
        <f aca="false">IFERROR(IF(SUM(I136 * A$18)&lt;1,"",SUM(I136 * A$18)),"")</f>
        <v/>
      </c>
      <c r="I136" s="4" t="str">
        <f aca="false">IFERROR(IF(I135*(1+$A$18) - ($A$17*12) * (1+$A$16)^ROW()&lt;0,"",I135*(1+$A$18) - ($A$17*12) * (1+$A$16)^ROW()),"")</f>
        <v/>
      </c>
      <c r="K136" s="4" t="str">
        <f aca="false">IFERROR(IF(K135 * (1 + $A$18 * (1 - $A$19)) - (($A$17 * 12) * (1 + $A$16)) / (1 - $A$19)&lt;0,"",K135 * (1 + $A$18 * (1 - $A$19)) - (($A$17 * 12) * (1 + $A$16)) / (1 - $A$19)),"")</f>
        <v/>
      </c>
    </row>
    <row r="137" customFormat="false" ht="12.8" hidden="false" customHeight="false" outlineLevel="0" collapsed="false">
      <c r="G137" s="4" t="str">
        <f aca="false">IFERROR(IF(SUM(I137 * A$18)&lt;1,"",SUM(I137 * A$18)),"")</f>
        <v/>
      </c>
      <c r="I137" s="4" t="str">
        <f aca="false">IFERROR(IF(I136*(1+$A$18) - ($A$17*12) * (1+$A$16)^ROW()&lt;0,"",I136*(1+$A$18) - ($A$17*12) * (1+$A$16)^ROW()),"")</f>
        <v/>
      </c>
      <c r="K137" s="4" t="str">
        <f aca="false">IFERROR(IF(K136 * (1 + $A$18 * (1 - $A$19)) - (($A$17 * 12) * (1 + $A$16)) / (1 - $A$19)&lt;0,"",K136 * (1 + $A$18 * (1 - $A$19)) - (($A$17 * 12) * (1 + $A$16)) / (1 - $A$19)),"")</f>
        <v/>
      </c>
    </row>
    <row r="138" customFormat="false" ht="12.8" hidden="false" customHeight="false" outlineLevel="0" collapsed="false">
      <c r="G138" s="4" t="str">
        <f aca="false">IFERROR(IF(SUM(I138 * A$18)&lt;1,"",SUM(I138 * A$18)),"")</f>
        <v/>
      </c>
      <c r="I138" s="4" t="str">
        <f aca="false">IFERROR(IF(I137*(1+$A$18) - ($A$17*12) * (1+$A$16)^ROW()&lt;0,"",I137*(1+$A$18) - ($A$17*12) * (1+$A$16)^ROW()),"")</f>
        <v/>
      </c>
      <c r="K138" s="4" t="str">
        <f aca="false">IFERROR(IF(K137 * (1 + $A$18 * (1 - $A$19)) - (($A$17 * 12) * (1 + $A$16)) / (1 - $A$19)&lt;0,"",K137 * (1 + $A$18 * (1 - $A$19)) - (($A$17 * 12) * (1 + $A$16)) / (1 - $A$19)),"")</f>
        <v/>
      </c>
    </row>
    <row r="139" customFormat="false" ht="12.8" hidden="false" customHeight="false" outlineLevel="0" collapsed="false">
      <c r="G139" s="4" t="str">
        <f aca="false">IFERROR(IF(SUM(I139 * A$18)&lt;1,"",SUM(I139 * A$18)),"")</f>
        <v/>
      </c>
      <c r="I139" s="4" t="str">
        <f aca="false">IFERROR(IF(I138*(1+$A$18) - ($A$17*12) * (1+$A$16)^ROW()&lt;0,"",I138*(1+$A$18) - ($A$17*12) * (1+$A$16)^ROW()),"")</f>
        <v/>
      </c>
      <c r="K139" s="4" t="str">
        <f aca="false">IFERROR(IF(K138 * (1 + $A$18 * (1 - $A$19)) - (($A$17 * 12) * (1 + $A$16)) / (1 - $A$19)&lt;0,"",K138 * (1 + $A$18 * (1 - $A$19)) - (($A$17 * 12) * (1 + $A$16)) / (1 - $A$19)),"")</f>
        <v/>
      </c>
    </row>
    <row r="140" customFormat="false" ht="12.8" hidden="false" customHeight="false" outlineLevel="0" collapsed="false">
      <c r="G140" s="4" t="str">
        <f aca="false">IFERROR(IF(SUM(I140 * A$18)&lt;1,"",SUM(I140 * A$18)),"")</f>
        <v/>
      </c>
      <c r="I140" s="4" t="str">
        <f aca="false">IFERROR(IF(I139*(1+$A$18) - ($A$17*12) * (1+$A$16)^ROW()&lt;0,"",I139*(1+$A$18) - ($A$17*12) * (1+$A$16)^ROW()),"")</f>
        <v/>
      </c>
      <c r="K140" s="4" t="str">
        <f aca="false">IFERROR(IF(K139 * (1 + $A$18 * (1 - $A$19)) - (($A$17 * 12) * (1 + $A$16)) / (1 - $A$19)&lt;0,"",K139 * (1 + $A$18 * (1 - $A$19)) - (($A$17 * 12) * (1 + $A$16)) / (1 - $A$19)),"")</f>
        <v/>
      </c>
    </row>
    <row r="141" customFormat="false" ht="12.8" hidden="false" customHeight="false" outlineLevel="0" collapsed="false">
      <c r="G141" s="4" t="str">
        <f aca="false">IFERROR(IF(SUM(I141 * A$18)&lt;1,"",SUM(I141 * A$18)),"")</f>
        <v/>
      </c>
      <c r="I141" s="4" t="str">
        <f aca="false">IFERROR(IF(I140*(1+$A$18) - ($A$17*12) * (1+$A$16)^ROW()&lt;0,"",I140*(1+$A$18) - ($A$17*12) * (1+$A$16)^ROW()),"")</f>
        <v/>
      </c>
      <c r="K141" s="4" t="str">
        <f aca="false">IFERROR(IF(K140 * (1 + $A$18 * (1 - $A$19)) - (($A$17 * 12) * (1 + $A$16)) / (1 - $A$19)&lt;0,"",K140 * (1 + $A$18 * (1 - $A$19)) - (($A$17 * 12) * (1 + $A$16)) / (1 - $A$19)),"")</f>
        <v/>
      </c>
    </row>
    <row r="142" customFormat="false" ht="12.8" hidden="false" customHeight="false" outlineLevel="0" collapsed="false">
      <c r="G142" s="4" t="str">
        <f aca="false">IFERROR(IF(SUM(I142 * A$18)&lt;1,"",SUM(I142 * A$18)),"")</f>
        <v/>
      </c>
      <c r="I142" s="4" t="str">
        <f aca="false">IFERROR(IF(I141*(1+$A$18) - ($A$17*12) * (1+$A$16)^ROW()&lt;0,"",I141*(1+$A$18) - ($A$17*12) * (1+$A$16)^ROW()),"")</f>
        <v/>
      </c>
      <c r="K142" s="4" t="str">
        <f aca="false">IFERROR(IF(K141 * (1 + $A$18 * (1 - $A$19)) - (($A$17 * 12) * (1 + $A$16)) / (1 - $A$19)&lt;0,"",K141 * (1 + $A$18 * (1 - $A$19)) - (($A$17 * 12) * (1 + $A$16)) / (1 - $A$19)),"")</f>
        <v/>
      </c>
    </row>
    <row r="143" customFormat="false" ht="12.8" hidden="false" customHeight="false" outlineLevel="0" collapsed="false">
      <c r="G143" s="4" t="str">
        <f aca="false">IFERROR(IF(SUM(I143 * A$18)&lt;1,"",SUM(I143 * A$18)),"")</f>
        <v/>
      </c>
      <c r="I143" s="4" t="str">
        <f aca="false">IFERROR(IF(I142*(1+$A$18) - ($A$17*12) * (1+$A$16)^ROW()&lt;0,"",I142*(1+$A$18) - ($A$17*12) * (1+$A$16)^ROW()),"")</f>
        <v/>
      </c>
      <c r="K143" s="4" t="str">
        <f aca="false">IFERROR(IF(K142 * (1 + $A$18 * (1 - $A$19)) - (($A$17 * 12) * (1 + $A$16)) / (1 - $A$19)&lt;0,"",K142 * (1 + $A$18 * (1 - $A$19)) - (($A$17 * 12) * (1 + $A$16)) / (1 - $A$19)),"")</f>
        <v/>
      </c>
    </row>
    <row r="144" customFormat="false" ht="12.8" hidden="false" customHeight="false" outlineLevel="0" collapsed="false">
      <c r="G144" s="4" t="str">
        <f aca="false">IFERROR(IF(SUM(I144 * A$18)&lt;1,"",SUM(I144 * A$18)),"")</f>
        <v/>
      </c>
      <c r="I144" s="4" t="str">
        <f aca="false">IFERROR(IF(I143*(1+$A$18) - ($A$17*12) * (1+$A$16)^ROW()&lt;0,"",I143*(1+$A$18) - ($A$17*12) * (1+$A$16)^ROW()),"")</f>
        <v/>
      </c>
      <c r="K144" s="4" t="str">
        <f aca="false">IFERROR(IF(K143 * (1 + $A$18 * (1 - $A$19)) - (($A$17 * 12) * (1 + $A$16)) / (1 - $A$19)&lt;0,"",K143 * (1 + $A$18 * (1 - $A$19)) - (($A$17 * 12) * (1 + $A$16)) / (1 - $A$19)),"")</f>
        <v/>
      </c>
    </row>
    <row r="145" customFormat="false" ht="12.8" hidden="false" customHeight="false" outlineLevel="0" collapsed="false">
      <c r="G145" s="4" t="str">
        <f aca="false">IFERROR(IF(SUM(I145 * A$18)&lt;1,"",SUM(I145 * A$18)),"")</f>
        <v/>
      </c>
      <c r="I145" s="4" t="str">
        <f aca="false">IFERROR(IF(I144*(1+$A$18) - ($A$17*12) * (1+$A$16)^ROW()&lt;0,"",I144*(1+$A$18) - ($A$17*12) * (1+$A$16)^ROW()),"")</f>
        <v/>
      </c>
      <c r="K145" s="4" t="str">
        <f aca="false">IFERROR(IF(K144 * (1 + $A$18 * (1 - $A$19)) - (($A$17 * 12) * (1 + $A$16)) / (1 - $A$19)&lt;0,"",K144 * (1 + $A$18 * (1 - $A$19)) - (($A$17 * 12) * (1 + $A$16)) / (1 - $A$19)),"")</f>
        <v/>
      </c>
    </row>
    <row r="146" customFormat="false" ht="12.8" hidden="false" customHeight="false" outlineLevel="0" collapsed="false">
      <c r="G146" s="4" t="str">
        <f aca="false">IFERROR(IF(SUM(I146 * A$18)&lt;1,"",SUM(I146 * A$18)),"")</f>
        <v/>
      </c>
      <c r="I146" s="4" t="str">
        <f aca="false">IFERROR(IF(I145*(1+$A$18) - ($A$17*12) * (1+$A$16)^ROW()&lt;0,"",I145*(1+$A$18) - ($A$17*12) * (1+$A$16)^ROW()),"")</f>
        <v/>
      </c>
      <c r="K146" s="4" t="str">
        <f aca="false">IFERROR(IF(K145 * (1 + $A$18 * (1 - $A$19)) - (($A$17 * 12) * (1 + $A$16)) / (1 - $A$19)&lt;0,"",K145 * (1 + $A$18 * (1 - $A$19)) - (($A$17 * 12) * (1 + $A$16)) / (1 - $A$19)),"")</f>
        <v/>
      </c>
    </row>
    <row r="147" customFormat="false" ht="12.8" hidden="false" customHeight="false" outlineLevel="0" collapsed="false">
      <c r="G147" s="4" t="str">
        <f aca="false">IFERROR(IF(SUM(I147 * A$18)&lt;1,"",SUM(I147 * A$18)),"")</f>
        <v/>
      </c>
      <c r="I147" s="4" t="str">
        <f aca="false">IFERROR(IF(I146*(1+$A$18) - ($A$17*12) * (1+$A$16)^ROW()&lt;0,"",I146*(1+$A$18) - ($A$17*12) * (1+$A$16)^ROW()),"")</f>
        <v/>
      </c>
      <c r="K147" s="4" t="str">
        <f aca="false">IFERROR(IF(K146 * (1 + $A$18 * (1 - $A$19)) - (($A$17 * 12) * (1 + $A$16)) / (1 - $A$19)&lt;0,"",K146 * (1 + $A$18 * (1 - $A$19)) - (($A$17 * 12) * (1 + $A$16)) / (1 - $A$19)),"")</f>
        <v/>
      </c>
    </row>
    <row r="148" customFormat="false" ht="12.8" hidden="false" customHeight="false" outlineLevel="0" collapsed="false">
      <c r="G148" s="4" t="str">
        <f aca="false">IFERROR(IF(SUM(I148 * A$18)&lt;1,"",SUM(I148 * A$18)),"")</f>
        <v/>
      </c>
      <c r="I148" s="4" t="str">
        <f aca="false">IFERROR(IF(I147*(1+$A$18) - ($A$17*12) * (1+$A$16)^ROW()&lt;0,"",I147*(1+$A$18) - ($A$17*12) * (1+$A$16)^ROW()),"")</f>
        <v/>
      </c>
      <c r="K148" s="4" t="str">
        <f aca="false">IFERROR(IF(K147 * (1 + $A$18 * (1 - $A$19)) - (($A$17 * 12) * (1 + $A$16)) / (1 - $A$19)&lt;0,"",K147 * (1 + $A$18 * (1 - $A$19)) - (($A$17 * 12) * (1 + $A$16)) / (1 - $A$19)),"")</f>
        <v/>
      </c>
    </row>
    <row r="149" customFormat="false" ht="12.8" hidden="false" customHeight="false" outlineLevel="0" collapsed="false">
      <c r="G149" s="4" t="str">
        <f aca="false">IFERROR(IF(SUM(I149 * A$18)&lt;1,"",SUM(I149 * A$18)),"")</f>
        <v/>
      </c>
      <c r="I149" s="4" t="str">
        <f aca="false">IFERROR(IF(I148*(1+$A$18) - ($A$17*12) * (1+$A$16)^ROW()&lt;0,"",I148*(1+$A$18) - ($A$17*12) * (1+$A$16)^ROW()),"")</f>
        <v/>
      </c>
      <c r="K149" s="4" t="str">
        <f aca="false">IFERROR(IF(K148 * (1 + $A$18 * (1 - $A$19)) - (($A$17 * 12) * (1 + $A$16)) / (1 - $A$19)&lt;0,"",K148 * (1 + $A$18 * (1 - $A$19)) - (($A$17 * 12) * (1 + $A$16)) / (1 - $A$19)),"")</f>
        <v/>
      </c>
    </row>
    <row r="150" customFormat="false" ht="12.8" hidden="false" customHeight="false" outlineLevel="0" collapsed="false">
      <c r="G150" s="4" t="str">
        <f aca="false">IFERROR(IF(SUM(I150 * A$18)&lt;1,"",SUM(I150 * A$18)),"")</f>
        <v/>
      </c>
      <c r="I150" s="4" t="str">
        <f aca="false">IFERROR(IF(I149*(1+$A$18) - ($A$17*12) * (1+$A$16)^ROW()&lt;0,"",I149*(1+$A$18) - ($A$17*12) * (1+$A$16)^ROW()),"")</f>
        <v/>
      </c>
      <c r="K150" s="4" t="str">
        <f aca="false">IFERROR(IF(K149 * (1 + $A$18 * (1 - $A$19)) - (($A$17 * 12) * (1 + $A$16)) / (1 - $A$19)&lt;0,"",K149 * (1 + $A$18 * (1 - $A$19)) - (($A$17 * 12) * (1 + $A$16)) / (1 - $A$19)),"")</f>
        <v/>
      </c>
    </row>
    <row r="151" customFormat="false" ht="12.8" hidden="false" customHeight="false" outlineLevel="0" collapsed="false">
      <c r="G151" s="4" t="str">
        <f aca="false">IFERROR(IF(SUM(I151 * A$18)&lt;1,"",SUM(I151 * A$18)),"")</f>
        <v/>
      </c>
      <c r="I151" s="4" t="str">
        <f aca="false">IFERROR(IF(I150*(1+$A$18) - ($A$17*12) * (1+$A$16)^ROW()&lt;0,"",I150*(1+$A$18) - ($A$17*12) * (1+$A$16)^ROW()),"")</f>
        <v/>
      </c>
      <c r="K151" s="4" t="str">
        <f aca="false">IFERROR(IF(K150 * (1 + $A$18 * (1 - $A$19)) - (($A$17 * 12) * (1 + $A$16)) / (1 - $A$19)&lt;0,"",K150 * (1 + $A$18 * (1 - $A$19)) - (($A$17 * 12) * (1 + $A$16)) / (1 - $A$19)),"")</f>
        <v/>
      </c>
    </row>
    <row r="152" customFormat="false" ht="12.8" hidden="false" customHeight="false" outlineLevel="0" collapsed="false">
      <c r="G152" s="4" t="str">
        <f aca="false">IFERROR(IF(SUM(I152 * A$18)&lt;1,"",SUM(I152 * A$18)),"")</f>
        <v/>
      </c>
      <c r="I152" s="4" t="str">
        <f aca="false">IFERROR(IF(I151*(1+$A$18) - ($A$17*12) * (1+$A$16)^ROW()&lt;0,"",I151*(1+$A$18) - ($A$17*12) * (1+$A$16)^ROW()),"")</f>
        <v/>
      </c>
      <c r="K152" s="4" t="str">
        <f aca="false">IFERROR(IF(K151 * (1 + $A$18 * (1 - $A$19)) - (($A$17 * 12) * (1 + $A$16)) / (1 - $A$19)&lt;0,"",K151 * (1 + $A$18 * (1 - $A$19)) - (($A$17 * 12) * (1 + $A$16)) / (1 - $A$19)),"")</f>
        <v/>
      </c>
    </row>
    <row r="153" customFormat="false" ht="12.8" hidden="false" customHeight="false" outlineLevel="0" collapsed="false">
      <c r="G153" s="4" t="str">
        <f aca="false">IFERROR(IF(SUM(I153 * A$18)&lt;1,"",SUM(I153 * A$18)),"")</f>
        <v/>
      </c>
      <c r="I153" s="4" t="str">
        <f aca="false">IFERROR(IF(I152*(1+$A$18) - ($A$17*12) * (1+$A$16)^ROW()&lt;0,"",I152*(1+$A$18) - ($A$17*12) * (1+$A$16)^ROW()),"")</f>
        <v/>
      </c>
      <c r="K153" s="4" t="str">
        <f aca="false">IFERROR(IF(K152 * (1 + $A$18 * (1 - $A$19)) - (($A$17 * 12) * (1 + $A$16)) / (1 - $A$19)&lt;0,"",K152 * (1 + $A$18 * (1 - $A$19)) - (($A$17 * 12) * (1 + $A$16)) / (1 - $A$19)),"")</f>
        <v/>
      </c>
    </row>
    <row r="154" customFormat="false" ht="12.8" hidden="false" customHeight="false" outlineLevel="0" collapsed="false">
      <c r="G154" s="4" t="str">
        <f aca="false">IFERROR(IF(SUM(I154 * A$18)&lt;1,"",SUM(I154 * A$18)),"")</f>
        <v/>
      </c>
      <c r="I154" s="4" t="str">
        <f aca="false">IFERROR(IF(I153*(1+$A$18) - ($A$17*12) * (1+$A$16)^ROW()&lt;0,"",I153*(1+$A$18) - ($A$17*12) * (1+$A$16)^ROW()),"")</f>
        <v/>
      </c>
      <c r="K154" s="4" t="str">
        <f aca="false">IFERROR(IF(K153 * (1 + $A$18 * (1 - $A$19)) - (($A$17 * 12) * (1 + $A$16)) / (1 - $A$19)&lt;0,"",K153 * (1 + $A$18 * (1 - $A$19)) - (($A$17 * 12) * (1 + $A$16)) / (1 - $A$19)),"")</f>
        <v/>
      </c>
    </row>
    <row r="155" customFormat="false" ht="12.8" hidden="false" customHeight="false" outlineLevel="0" collapsed="false">
      <c r="G155" s="4" t="str">
        <f aca="false">IFERROR(IF(SUM(I155 * A$18)&lt;1,"",SUM(I155 * A$18)),"")</f>
        <v/>
      </c>
      <c r="I155" s="4" t="str">
        <f aca="false">IFERROR(IF(I154*(1+$A$18) - ($A$17*12) * (1+$A$16)^ROW()&lt;0,"",I154*(1+$A$18) - ($A$17*12) * (1+$A$16)^ROW()),"")</f>
        <v/>
      </c>
      <c r="K155" s="4" t="str">
        <f aca="false">IFERROR(IF(K154 * (1 + $A$18 * (1 - $A$19)) - (($A$17 * 12) * (1 + $A$16)) / (1 - $A$19)&lt;0,"",K154 * (1 + $A$18 * (1 - $A$19)) - (($A$17 * 12) * (1 + $A$16)) / (1 - $A$19)),"")</f>
        <v/>
      </c>
    </row>
    <row r="156" customFormat="false" ht="12.8" hidden="false" customHeight="false" outlineLevel="0" collapsed="false">
      <c r="G156" s="4" t="str">
        <f aca="false">IFERROR(IF(SUM(I156 * A$18)&lt;1,"",SUM(I156 * A$18)),"")</f>
        <v/>
      </c>
      <c r="I156" s="4" t="str">
        <f aca="false">IFERROR(IF(I155*(1+$A$18) - ($A$17*12) * (1+$A$16)^ROW()&lt;0,"",I155*(1+$A$18) - ($A$17*12) * (1+$A$16)^ROW()),"")</f>
        <v/>
      </c>
      <c r="K156" s="4" t="str">
        <f aca="false">IFERROR(IF(K155 * (1 + $A$18 * (1 - $A$19)) - (($A$17 * 12) * (1 + $A$16)) / (1 - $A$19)&lt;0,"",K155 * (1 + $A$18 * (1 - $A$19)) - (($A$17 * 12) * (1 + $A$16)) / (1 - $A$19)),"")</f>
        <v/>
      </c>
    </row>
    <row r="157" customFormat="false" ht="12.8" hidden="false" customHeight="false" outlineLevel="0" collapsed="false">
      <c r="G157" s="4" t="str">
        <f aca="false">IFERROR(IF(SUM(I157 * A$18)&lt;1,"",SUM(I157 * A$18)),"")</f>
        <v/>
      </c>
      <c r="I157" s="4" t="str">
        <f aca="false">IFERROR(IF(I156*(1+$A$18) - ($A$17*12) * (1+$A$16)^ROW()&lt;0,"",I156*(1+$A$18) - ($A$17*12) * (1+$A$16)^ROW()),"")</f>
        <v/>
      </c>
      <c r="K157" s="4" t="str">
        <f aca="false">IFERROR(IF(K156 * (1 + $A$18 * (1 - $A$19)) - (($A$17 * 12) * (1 + $A$16)) / (1 - $A$19)&lt;0,"",K156 * (1 + $A$18 * (1 - $A$19)) - (($A$17 * 12) * (1 + $A$16)) / (1 - $A$19)),"")</f>
        <v/>
      </c>
    </row>
    <row r="158" customFormat="false" ht="12.8" hidden="false" customHeight="false" outlineLevel="0" collapsed="false">
      <c r="G158" s="4" t="str">
        <f aca="false">IFERROR(IF(SUM(I158 * A$18)&lt;1,"",SUM(I158 * A$18)),"")</f>
        <v/>
      </c>
      <c r="I158" s="4" t="str">
        <f aca="false">IFERROR(IF(I157*(1+$A$18) - ($A$17*12) * (1+$A$16)^ROW()&lt;0,"",I157*(1+$A$18) - ($A$17*12) * (1+$A$16)^ROW()),"")</f>
        <v/>
      </c>
      <c r="K158" s="4" t="str">
        <f aca="false">IFERROR(IF(K157 * (1 + $A$18 * (1 - $A$19)) - (($A$17 * 12) * (1 + $A$16)) / (1 - $A$19)&lt;0,"",K157 * (1 + $A$18 * (1 - $A$19)) - (($A$17 * 12) * (1 + $A$16)) / (1 - $A$19)),"")</f>
        <v/>
      </c>
    </row>
    <row r="159" customFormat="false" ht="12.8" hidden="false" customHeight="false" outlineLevel="0" collapsed="false">
      <c r="G159" s="4" t="str">
        <f aca="false">IFERROR(IF(SUM(I159 * A$18)&lt;1,"",SUM(I159 * A$18)),"")</f>
        <v/>
      </c>
      <c r="I159" s="4" t="str">
        <f aca="false">IFERROR(IF(I158*(1+$A$18) - ($A$17*12) * (1+$A$16)^ROW()&lt;0,"",I158*(1+$A$18) - ($A$17*12) * (1+$A$16)^ROW()),"")</f>
        <v/>
      </c>
      <c r="K159" s="4" t="str">
        <f aca="false">IFERROR(IF(K158 * (1 + $A$18 * (1 - $A$19)) - (($A$17 * 12) * (1 + $A$16)) / (1 - $A$19)&lt;0,"",K158 * (1 + $A$18 * (1 - $A$19)) - (($A$17 * 12) * (1 + $A$16)) / (1 - $A$19)),"")</f>
        <v/>
      </c>
    </row>
    <row r="160" customFormat="false" ht="12.8" hidden="false" customHeight="false" outlineLevel="0" collapsed="false">
      <c r="G160" s="4" t="str">
        <f aca="false">IFERROR(IF(SUM(I160 * A$18)&lt;1,"",SUM(I160 * A$18)),"")</f>
        <v/>
      </c>
      <c r="I160" s="4" t="str">
        <f aca="false">IFERROR(IF(I159*(1+$A$18) - ($A$17*12) * (1+$A$16)^ROW()&lt;0,"",I159*(1+$A$18) - ($A$17*12) * (1+$A$16)^ROW()),"")</f>
        <v/>
      </c>
      <c r="K160" s="4" t="str">
        <f aca="false">IFERROR(IF(K159 * (1 + $A$18 * (1 - $A$19)) - (($A$17 * 12) * (1 + $A$16)) / (1 - $A$19)&lt;0,"",K159 * (1 + $A$18 * (1 - $A$19)) - (($A$17 * 12) * (1 + $A$16)) / (1 - $A$19)),"")</f>
        <v/>
      </c>
    </row>
    <row r="161" customFormat="false" ht="12.8" hidden="false" customHeight="false" outlineLevel="0" collapsed="false">
      <c r="G161" s="4" t="str">
        <f aca="false">IFERROR(IF(SUM(I161 * A$18)&lt;1,"",SUM(I161 * A$18)),"")</f>
        <v/>
      </c>
      <c r="I161" s="4" t="str">
        <f aca="false">IFERROR(IF(I160*(1+$A$18) - ($A$17*12) * (1+$A$16)^ROW()&lt;0,"",I160*(1+$A$18) - ($A$17*12) * (1+$A$16)^ROW()),"")</f>
        <v/>
      </c>
      <c r="K161" s="4" t="str">
        <f aca="false">IFERROR(IF(K160 * (1 + $A$18 * (1 - $A$19)) - (($A$17 * 12) * (1 + $A$16)) / (1 - $A$19)&lt;0,"",K160 * (1 + $A$18 * (1 - $A$19)) - (($A$17 * 12) * (1 + $A$16)) / (1 - $A$19)),"")</f>
        <v/>
      </c>
    </row>
    <row r="162" customFormat="false" ht="12.8" hidden="false" customHeight="false" outlineLevel="0" collapsed="false">
      <c r="G162" s="4" t="str">
        <f aca="false">IFERROR(IF(SUM(I162 * A$18)&lt;1,"",SUM(I162 * A$18)),"")</f>
        <v/>
      </c>
      <c r="I162" s="4" t="str">
        <f aca="false">IFERROR(IF(I161*(1+$A$18) - ($A$17*12) * (1+$A$16)^ROW()&lt;0,"",I161*(1+$A$18) - ($A$17*12) * (1+$A$16)^ROW()),"")</f>
        <v/>
      </c>
      <c r="K162" s="4" t="str">
        <f aca="false">IFERROR(IF(K161 * (1 + $A$18 * (1 - $A$19)) - (($A$17 * 12) * (1 + $A$16)) / (1 - $A$19)&lt;0,"",K161 * (1 + $A$18 * (1 - $A$19)) - (($A$17 * 12) * (1 + $A$16)) / (1 - $A$19)),"")</f>
        <v/>
      </c>
    </row>
    <row r="163" customFormat="false" ht="12.8" hidden="false" customHeight="false" outlineLevel="0" collapsed="false">
      <c r="G163" s="4" t="str">
        <f aca="false">IFERROR(IF(SUM(I163 * A$18)&lt;1,"",SUM(I163 * A$18)),"")</f>
        <v/>
      </c>
      <c r="I163" s="4" t="str">
        <f aca="false">IFERROR(IF(I162*(1+$A$18) - ($A$17*12) * (1+$A$16)^ROW()&lt;0,"",I162*(1+$A$18) - ($A$17*12) * (1+$A$16)^ROW()),"")</f>
        <v/>
      </c>
      <c r="K163" s="4" t="str">
        <f aca="false">IFERROR(IF(K162 * (1 + $A$18 * (1 - $A$19)) - (($A$17 * 12) * (1 + $A$16)) / (1 - $A$19)&lt;0,"",K162 * (1 + $A$18 * (1 - $A$19)) - (($A$17 * 12) * (1 + $A$16)) / (1 - $A$19)),"")</f>
        <v/>
      </c>
    </row>
    <row r="164" customFormat="false" ht="12.8" hidden="false" customHeight="false" outlineLevel="0" collapsed="false">
      <c r="G164" s="4" t="str">
        <f aca="false">IFERROR(IF(SUM(I164 * A$18)&lt;1,"",SUM(I164 * A$18)),"")</f>
        <v/>
      </c>
      <c r="I164" s="4" t="str">
        <f aca="false">IFERROR(IF(I163*(1+$A$18) - ($A$17*12) * (1+$A$16)^ROW()&lt;0,"",I163*(1+$A$18) - ($A$17*12) * (1+$A$16)^ROW()),"")</f>
        <v/>
      </c>
      <c r="K164" s="4" t="str">
        <f aca="false">IFERROR(IF(K163 * (1 + $A$18 * (1 - $A$19)) - (($A$17 * 12) * (1 + $A$16)) / (1 - $A$19)&lt;0,"",K163 * (1 + $A$18 * (1 - $A$19)) - (($A$17 * 12) * (1 + $A$16)) / (1 - $A$19)),"")</f>
        <v/>
      </c>
    </row>
    <row r="165" customFormat="false" ht="12.8" hidden="false" customHeight="false" outlineLevel="0" collapsed="false">
      <c r="G165" s="4" t="str">
        <f aca="false">IFERROR(IF(SUM(I165 * A$18)&lt;1,"",SUM(I165 * A$18)),"")</f>
        <v/>
      </c>
      <c r="I165" s="4" t="str">
        <f aca="false">IFERROR(IF(I164*(1+$A$18) - ($A$17*12) * (1+$A$16)^ROW()&lt;0,"",I164*(1+$A$18) - ($A$17*12) * (1+$A$16)^ROW()),"")</f>
        <v/>
      </c>
    </row>
    <row r="166" customFormat="false" ht="12.8" hidden="false" customHeight="false" outlineLevel="0" collapsed="false">
      <c r="G166" s="4" t="str">
        <f aca="false">IFERROR(IF(SUM(I166 * A$18)&lt;1,"",SUM(I166 * A$18)),"")</f>
        <v/>
      </c>
      <c r="I166" s="4" t="str">
        <f aca="false">IFERROR(IF(I165*(1+$A$18) - ($A$17*12) * (1+$A$16)^ROW()&lt;0,"",I165*(1+$A$18) - ($A$17*12) * (1+$A$16)^ROW()),"")</f>
        <v/>
      </c>
    </row>
    <row r="167" customFormat="false" ht="12.8" hidden="false" customHeight="false" outlineLevel="0" collapsed="false">
      <c r="G167" s="4" t="str">
        <f aca="false">IFERROR(IF(SUM(I167 * A$18)&lt;1,"",SUM(I167 * A$18)),"")</f>
        <v/>
      </c>
      <c r="I167" s="4" t="str">
        <f aca="false">IFERROR(IF(I166*(1+$A$18) - ($A$17*12) * (1+$A$16)^ROW()&lt;0,"",I166*(1+$A$18) - ($A$17*12) * (1+$A$16)^ROW()),"")</f>
        <v/>
      </c>
    </row>
    <row r="168" customFormat="false" ht="12.8" hidden="false" customHeight="false" outlineLevel="0" collapsed="false">
      <c r="G168" s="4" t="str">
        <f aca="false">IFERROR(IF(SUM(I168 * A$18)&lt;1,"",SUM(I168 * A$18)),"")</f>
        <v/>
      </c>
      <c r="I168" s="4" t="str">
        <f aca="false">IFERROR(IF(I167*(1+$A$18) - ($A$17*12) * (1+$A$16)^ROW()&lt;0,"",I167*(1+$A$18) - ($A$17*12) * (1+$A$16)^ROW()),"")</f>
        <v/>
      </c>
    </row>
    <row r="169" customFormat="false" ht="12.8" hidden="false" customHeight="false" outlineLevel="0" collapsed="false">
      <c r="G169" s="4" t="str">
        <f aca="false">IFERROR(IF(SUM(I169 * A$18)&lt;1,"",SUM(I169 * A$18)),"")</f>
        <v/>
      </c>
      <c r="I169" s="4" t="str">
        <f aca="false">IFERROR(IF(I168*(1+$A$18) - ($A$17*12) * (1+$A$16)^ROW()&lt;0,"",I168*(1+$A$18) - ($A$17*12) * (1+$A$16)^ROW()),"")</f>
        <v/>
      </c>
    </row>
    <row r="170" customFormat="false" ht="12.8" hidden="false" customHeight="false" outlineLevel="0" collapsed="false">
      <c r="G170" s="4" t="str">
        <f aca="false">IFERROR(IF(SUM(I170 * A$18)&lt;1,"",SUM(I170 * A$18)),"")</f>
        <v/>
      </c>
      <c r="I170" s="4" t="str">
        <f aca="false">IFERROR(IF(I169*(1+$A$18) - ($A$17*12) * (1+$A$16)^ROW()&lt;0,"",I169*(1+$A$18) - ($A$17*12) * (1+$A$16)^ROW()),"")</f>
        <v/>
      </c>
    </row>
    <row r="171" customFormat="false" ht="12.8" hidden="false" customHeight="false" outlineLevel="0" collapsed="false">
      <c r="G171" s="4" t="str">
        <f aca="false">IFERROR(IF(SUM(I171 * A$18)&lt;1,"",SUM(I171 * A$18)),"")</f>
        <v/>
      </c>
      <c r="I171" s="4" t="str">
        <f aca="false">IFERROR(IF(I170*(1+$A$18) - ($A$17*12) * (1+$A$16)^ROW()&lt;0,"",I170*(1+$A$18) - ($A$17*12) * (1+$A$16)^ROW()),"")</f>
        <v/>
      </c>
    </row>
    <row r="172" customFormat="false" ht="12.8" hidden="false" customHeight="false" outlineLevel="0" collapsed="false">
      <c r="G172" s="4" t="str">
        <f aca="false">IFERROR(IF(SUM(I172 * A$18)&lt;1,"",SUM(I172 * A$18)),"")</f>
        <v/>
      </c>
      <c r="I172" s="4" t="str">
        <f aca="false">IFERROR(IF(I171*(1+$A$18) - ($A$17*12) * (1+$A$16)^ROW()&lt;0,"",I171*(1+$A$18) - ($A$17*12) * (1+$A$16)^ROW()),"")</f>
        <v/>
      </c>
    </row>
    <row r="173" customFormat="false" ht="12.8" hidden="false" customHeight="false" outlineLevel="0" collapsed="false">
      <c r="G173" s="4" t="str">
        <f aca="false">IFERROR(IF(SUM(I173 * A$18)&lt;1,"",SUM(I173 * A$18)),"")</f>
        <v/>
      </c>
      <c r="I173" s="4" t="str">
        <f aca="false">IFERROR(IF(I172*(1+$A$18) - ($A$17*12) * (1+$A$16)^ROW()&lt;0,"",I172*(1+$A$18) - ($A$17*12) * (1+$A$16)^ROW()),"")</f>
        <v/>
      </c>
    </row>
    <row r="174" customFormat="false" ht="12.8" hidden="false" customHeight="false" outlineLevel="0" collapsed="false">
      <c r="G174" s="4" t="str">
        <f aca="false">IFERROR(IF(SUM(I174 * A$18)&lt;1,"",SUM(I174 * A$18)),"")</f>
        <v/>
      </c>
      <c r="I174" s="4" t="str">
        <f aca="false">IFERROR(IF(I173*(1+$A$18) - ($A$17*12) * (1+$A$16)^ROW()&lt;0,"",I173*(1+$A$18) - ($A$17*12) * (1+$A$16)^ROW()),"")</f>
        <v/>
      </c>
    </row>
    <row r="175" customFormat="false" ht="12.8" hidden="false" customHeight="false" outlineLevel="0" collapsed="false">
      <c r="G175" s="4" t="str">
        <f aca="false">IFERROR(IF(SUM(I175 * A$18)&lt;1,"",SUM(I175 * A$18)),"")</f>
        <v/>
      </c>
      <c r="I175" s="4" t="str">
        <f aca="false">IFERROR(IF(I174*(1+$A$18) - ($A$17*12) * (1+$A$16)^ROW()&lt;0,"",I174*(1+$A$18) - ($A$17*12) * (1+$A$16)^ROW()),"")</f>
        <v/>
      </c>
    </row>
    <row r="176" customFormat="false" ht="12.8" hidden="false" customHeight="false" outlineLevel="0" collapsed="false">
      <c r="G176" s="4" t="str">
        <f aca="false">IFERROR(IF(SUM(I176 * A$18)&lt;1,"",SUM(I176 * A$18)),"")</f>
        <v/>
      </c>
      <c r="I176" s="4" t="str">
        <f aca="false">IFERROR(IF(I175*(1+$A$18) - ($A$17*12) * (1+$A$16)^ROW()&lt;0,"",I175*(1+$A$18) - ($A$17*12) * (1+$A$16)^ROW()),"")</f>
        <v/>
      </c>
    </row>
    <row r="177" customFormat="false" ht="12.8" hidden="false" customHeight="false" outlineLevel="0" collapsed="false">
      <c r="G177" s="4" t="str">
        <f aca="false">IFERROR(IF(SUM(I177 * A$18)&lt;1,"",SUM(I177 * A$18)),"")</f>
        <v/>
      </c>
      <c r="I177" s="4" t="str">
        <f aca="false">IFERROR(IF(I176*(1+$A$18) - ($A$17*12) * (1+$A$16)^ROW()&lt;0,"",I176*(1+$A$18) - ($A$17*12) * (1+$A$16)^ROW()),"")</f>
        <v/>
      </c>
    </row>
    <row r="178" customFormat="false" ht="12.8" hidden="false" customHeight="false" outlineLevel="0" collapsed="false">
      <c r="G178" s="4" t="str">
        <f aca="false">IFERROR(IF(SUM(I178 * A$18)&lt;1,"",SUM(I178 * A$18)),"")</f>
        <v/>
      </c>
      <c r="I178" s="4" t="str">
        <f aca="false">IFERROR(IF(I177*(1+$A$18) - ($A$17*12) * (1+$A$16)^ROW()&lt;0,"",I177*(1+$A$18) - ($A$17*12) * (1+$A$16)^ROW()),"")</f>
        <v/>
      </c>
    </row>
    <row r="179" customFormat="false" ht="12.8" hidden="false" customHeight="false" outlineLevel="0" collapsed="false">
      <c r="G179" s="4" t="str">
        <f aca="false">IFERROR(IF(SUM(I179 * A$18)&lt;1,"",SUM(I179 * A$18)),"")</f>
        <v/>
      </c>
      <c r="I179" s="4" t="str">
        <f aca="false">IFERROR(IF(I178*(1+$A$18) - ($A$17*12) * (1+$A$16)^ROW()&lt;0,"",I178*(1+$A$18) - ($A$17*12) * (1+$A$16)^ROW()),"")</f>
        <v/>
      </c>
    </row>
    <row r="180" customFormat="false" ht="12.8" hidden="false" customHeight="false" outlineLevel="0" collapsed="false">
      <c r="G180" s="4" t="str">
        <f aca="false">IFERROR(IF(SUM(I180 * A$18)&lt;1,"",SUM(I180 * A$18)),"")</f>
        <v/>
      </c>
      <c r="I180" s="4" t="str">
        <f aca="false">IFERROR(IF(I179*(1+$A$18) - ($A$17*12) * (1+$A$16)^ROW()&lt;0,"",I179*(1+$A$18) - ($A$17*12) * (1+$A$16)^ROW()),"")</f>
        <v/>
      </c>
    </row>
    <row r="181" customFormat="false" ht="12.8" hidden="false" customHeight="false" outlineLevel="0" collapsed="false">
      <c r="G181" s="4" t="str">
        <f aca="false">IFERROR(IF(SUM(I181 * A$18)&lt;1,"",SUM(I181 * A$18)),"")</f>
        <v/>
      </c>
      <c r="I181" s="4" t="str">
        <f aca="false">IFERROR(IF(I180*(1+$A$18) - ($A$17*12) * (1+$A$16)^ROW()&lt;0,"",I180*(1+$A$18) - ($A$17*12) * (1+$A$16)^ROW()),"")</f>
        <v/>
      </c>
    </row>
    <row r="182" customFormat="false" ht="12.8" hidden="false" customHeight="false" outlineLevel="0" collapsed="false">
      <c r="G182" s="4" t="str">
        <f aca="false">IFERROR(IF(SUM(I182 * A$18)&lt;1,"",SUM(I182 * A$18)),"")</f>
        <v/>
      </c>
      <c r="I182" s="4" t="str">
        <f aca="false">IFERROR(IF(I181*(1+$A$18) - ($A$17*12) * (1+$A$16)^ROW()&lt;0,"",I181*(1+$A$18) - ($A$17*12) * (1+$A$16)^ROW()),"")</f>
        <v/>
      </c>
    </row>
    <row r="183" customFormat="false" ht="12.8" hidden="false" customHeight="false" outlineLevel="0" collapsed="false">
      <c r="G183" s="4" t="str">
        <f aca="false">IFERROR(IF(SUM(I183 * A$18)&lt;1,"",SUM(I183 * A$18)),"")</f>
        <v/>
      </c>
      <c r="I183" s="4" t="str">
        <f aca="false">IFERROR(IF(I182*(1+$A$18) - ($A$17*12) * (1+$A$16)^ROW()&lt;0,"",I182*(1+$A$18) - ($A$17*12) * (1+$A$16)^ROW()),"")</f>
        <v/>
      </c>
    </row>
    <row r="184" customFormat="false" ht="12.8" hidden="false" customHeight="false" outlineLevel="0" collapsed="false">
      <c r="G184" s="4" t="str">
        <f aca="false">IFERROR(IF(SUM(I184 * A$18)&lt;1,"",SUM(I184 * A$18)),"")</f>
        <v/>
      </c>
      <c r="I184" s="4" t="str">
        <f aca="false">IFERROR(IF(I183*(1+$A$18) - ($A$17*12) * (1+$A$16)^ROW()&lt;0,"",I183*(1+$A$18) - ($A$17*12) * (1+$A$16)^ROW()),"")</f>
        <v/>
      </c>
    </row>
    <row r="185" customFormat="false" ht="12.8" hidden="false" customHeight="false" outlineLevel="0" collapsed="false">
      <c r="G185" s="4" t="str">
        <f aca="false">IFERROR(IF(SUM(I185 * A$18)&lt;1,"",SUM(I185 * A$18)),"")</f>
        <v/>
      </c>
      <c r="I185" s="4" t="str">
        <f aca="false">IFERROR(IF(I184*(1+$A$18) - ($A$17*12) * (1+$A$16)^ROW()&lt;0,"",I184*(1+$A$18) - ($A$17*12) * (1+$A$16)^ROW()),"")</f>
        <v/>
      </c>
    </row>
    <row r="186" customFormat="false" ht="12.8" hidden="false" customHeight="false" outlineLevel="0" collapsed="false">
      <c r="G186" s="4" t="str">
        <f aca="false">IFERROR(IF(SUM(I186 * A$18)&lt;1,"",SUM(I186 * A$18)),"")</f>
        <v/>
      </c>
      <c r="I186" s="4" t="str">
        <f aca="false">IFERROR(IF(I185*(1+$A$18) - ($A$17*12) * (1+$A$16)^ROW()&lt;0,"",I185*(1+$A$18) - ($A$17*12) * (1+$A$16)^ROW()),"")</f>
        <v/>
      </c>
    </row>
    <row r="187" customFormat="false" ht="12.8" hidden="false" customHeight="false" outlineLevel="0" collapsed="false">
      <c r="G187" s="4" t="str">
        <f aca="false">IFERROR(IF(SUM(I187 * A$18)&lt;1,"",SUM(I187 * A$18)),"")</f>
        <v/>
      </c>
      <c r="I187" s="4" t="str">
        <f aca="false">IFERROR(IF(I186*(1+$A$18) - ($A$17*12) * (1+$A$16)^ROW()&lt;0,"",I186*(1+$A$18) - ($A$17*12) * (1+$A$16)^ROW()),"")</f>
        <v/>
      </c>
    </row>
    <row r="188" customFormat="false" ht="12.8" hidden="false" customHeight="false" outlineLevel="0" collapsed="false">
      <c r="G188" s="4" t="str">
        <f aca="false">IFERROR(IF(SUM(I188 * A$18)&lt;1,"",SUM(I188 * A$18)),"")</f>
        <v/>
      </c>
      <c r="I188" s="4" t="str">
        <f aca="false">IFERROR(IF(I187*(1+$A$18) - ($A$17*12) * (1+$A$16)^ROW()&lt;0,"",I187*(1+$A$18) - ($A$17*12) * (1+$A$16)^ROW()),"")</f>
        <v/>
      </c>
    </row>
    <row r="189" customFormat="false" ht="12.8" hidden="false" customHeight="false" outlineLevel="0" collapsed="false">
      <c r="G189" s="4" t="str">
        <f aca="false">IFERROR(IF(SUM(I189 * A$18)&lt;1,"",SUM(I189 * A$18)),"")</f>
        <v/>
      </c>
      <c r="I189" s="4" t="str">
        <f aca="false">IFERROR(IF(I188*(1+$A$18) - ($A$17*12) * (1+$A$16)^ROW()&lt;0,"",I188*(1+$A$18) - ($A$17*12) * (1+$A$16)^ROW()),"")</f>
        <v/>
      </c>
    </row>
    <row r="190" customFormat="false" ht="12.8" hidden="false" customHeight="false" outlineLevel="0" collapsed="false">
      <c r="G190" s="4" t="str">
        <f aca="false">IFERROR(IF(SUM(I190 * A$18)&lt;1,"",SUM(I190 * A$18)),"")</f>
        <v/>
      </c>
      <c r="I190" s="4" t="str">
        <f aca="false">IFERROR(IF(I189*(1+$A$18) - ($A$17*12) * (1+$A$16)^ROW()&lt;0,"",I189*(1+$A$18) - ($A$17*12) * (1+$A$16)^ROW()),"")</f>
        <v/>
      </c>
    </row>
    <row r="191" customFormat="false" ht="12.8" hidden="false" customHeight="false" outlineLevel="0" collapsed="false">
      <c r="G191" s="4" t="str">
        <f aca="false">IFERROR(IF(SUM(I191 * A$18)&lt;1,"",SUM(I191 * A$18)),"")</f>
        <v/>
      </c>
      <c r="I191" s="4" t="str">
        <f aca="false">IFERROR(IF(I190*(1+$A$18) - ($A$17*12) * (1+$A$16)^ROW()&lt;0,"",I190*(1+$A$18) - ($A$17*12) * (1+$A$16)^ROW()),"")</f>
        <v/>
      </c>
    </row>
    <row r="192" customFormat="false" ht="12.8" hidden="false" customHeight="false" outlineLevel="0" collapsed="false">
      <c r="G192" s="4" t="str">
        <f aca="false">IFERROR(IF(SUM(I192 * A$18)&lt;1,"",SUM(I192 * A$18)),"")</f>
        <v/>
      </c>
      <c r="I192" s="4" t="str">
        <f aca="false">IFERROR(IF(I191*(1+$A$18) - ($A$17*12) * (1+$A$16)^ROW()&lt;0,"",I191*(1+$A$18) - ($A$17*12) * (1+$A$16)^ROW()),"")</f>
        <v/>
      </c>
    </row>
    <row r="193" customFormat="false" ht="12.8" hidden="false" customHeight="false" outlineLevel="0" collapsed="false">
      <c r="G193" s="4" t="str">
        <f aca="false">IFERROR(IF(SUM(I193 * A$18)&lt;1,"",SUM(I193 * A$18)),"")</f>
        <v/>
      </c>
      <c r="I193" s="4" t="str">
        <f aca="false">IFERROR(IF(I192*(1+$A$18) - ($A$17*12) * (1+$A$16)^ROW()&lt;0,"",I192*(1+$A$18) - ($A$17*12) * (1+$A$16)^ROW()),"")</f>
        <v/>
      </c>
    </row>
    <row r="194" customFormat="false" ht="12.8" hidden="false" customHeight="false" outlineLevel="0" collapsed="false">
      <c r="G194" s="4" t="str">
        <f aca="false">IFERROR(IF(SUM(I194 * A$18)&lt;1,"",SUM(I194 * A$18)),"")</f>
        <v/>
      </c>
      <c r="I194" s="4" t="str">
        <f aca="false">IFERROR(IF(I193*(1+$A$18) - ($A$17*12) * (1+$A$16)^ROW()&lt;0,"",I193*(1+$A$18) - ($A$17*12) * (1+$A$16)^ROW()),"")</f>
        <v/>
      </c>
    </row>
    <row r="195" customFormat="false" ht="12.8" hidden="false" customHeight="false" outlineLevel="0" collapsed="false">
      <c r="G195" s="4" t="str">
        <f aca="false">IFERROR(IF(SUM(I195 * A$18)&lt;1,"",SUM(I195 * A$18)),"")</f>
        <v/>
      </c>
      <c r="I195" s="4" t="str">
        <f aca="false">IFERROR(IF(I194*(1+$A$18) - ($A$17*12) * (1+$A$16)^ROW()&lt;0,"",I194*(1+$A$18) - ($A$17*12) * (1+$A$16)^ROW()),"")</f>
        <v/>
      </c>
    </row>
    <row r="196" customFormat="false" ht="12.8" hidden="false" customHeight="false" outlineLevel="0" collapsed="false">
      <c r="G196" s="4" t="str">
        <f aca="false">IFERROR(IF(SUM(I196 * A$18)&lt;1,"",SUM(I196 * A$18)),"")</f>
        <v/>
      </c>
      <c r="I196" s="4" t="str">
        <f aca="false">IFERROR(IF(I195*(1+$A$18) - ($A$17*12) * (1+$A$16)^ROW()&lt;0,"",I195*(1+$A$18) - ($A$17*12) * (1+$A$16)^ROW()),"")</f>
        <v/>
      </c>
    </row>
    <row r="197" customFormat="false" ht="12.8" hidden="false" customHeight="false" outlineLevel="0" collapsed="false">
      <c r="G197" s="4" t="str">
        <f aca="false">IFERROR(IF(SUM(I197 * A$18)&lt;1,"",SUM(I197 * A$18)),"")</f>
        <v/>
      </c>
      <c r="I197" s="4" t="str">
        <f aca="false">IFERROR(IF(I196*(1+$A$18) - ($A$17*12) * (1+$A$16)^ROW()&lt;0,"",I196*(1+$A$18) - ($A$17*12) * (1+$A$16)^ROW()),"")</f>
        <v/>
      </c>
    </row>
    <row r="198" customFormat="false" ht="12.8" hidden="false" customHeight="false" outlineLevel="0" collapsed="false">
      <c r="G198" s="4" t="str">
        <f aca="false">IFERROR(IF(SUM(I198 * A$18)&lt;1,"",SUM(I198 * A$18)),"")</f>
        <v/>
      </c>
      <c r="I198" s="4" t="str">
        <f aca="false">IFERROR(IF(I197*(1+$A$18) - ($A$17*12) * (1+$A$16)^ROW()&lt;0,"",I197*(1+$A$18) - ($A$17*12) * (1+$A$16)^ROW()),"")</f>
        <v/>
      </c>
    </row>
    <row r="199" customFormat="false" ht="12.8" hidden="false" customHeight="false" outlineLevel="0" collapsed="false">
      <c r="G199" s="4" t="str">
        <f aca="false">IFERROR(IF(SUM(I199 * A$18)&lt;1,"",SUM(I199 * A$18)),"")</f>
        <v/>
      </c>
      <c r="I199" s="4" t="str">
        <f aca="false">IFERROR(IF(I198*(1+$A$18) - ($A$17*12) * (1+$A$16)^ROW()&lt;0,"",I198*(1+$A$18) - ($A$17*12) * (1+$A$16)^ROW()),"")</f>
        <v/>
      </c>
    </row>
    <row r="200" customFormat="false" ht="12.8" hidden="false" customHeight="false" outlineLevel="0" collapsed="false">
      <c r="G200" s="4" t="str">
        <f aca="false">IFERROR(IF(SUM(I200 * A$18)&lt;1,"",SUM(I200 * A$18)),"")</f>
        <v/>
      </c>
      <c r="I200" s="4" t="str">
        <f aca="false">IFERROR(IF(I199*(1+$A$18) - ($A$17*12) * (1+$A$16)^ROW()&lt;0,"",I199*(1+$A$18) - ($A$17*12) * (1+$A$16)^ROW()),"")</f>
        <v/>
      </c>
    </row>
    <row r="201" customFormat="false" ht="12.8" hidden="false" customHeight="false" outlineLevel="0" collapsed="false">
      <c r="G201" s="4" t="str">
        <f aca="false">IFERROR(IF(SUM(I201 * A$18)&lt;1,"",SUM(I201 * A$18)),"")</f>
        <v/>
      </c>
      <c r="I201" s="4" t="str">
        <f aca="false">IFERROR(IF(I200*(1+$A$18) - ($A$17*12) * (1+$A$16)^ROW()&lt;0,"",I200*(1+$A$18) - ($A$17*12) * (1+$A$16)^ROW()),"")</f>
        <v/>
      </c>
    </row>
    <row r="202" customFormat="false" ht="12.8" hidden="false" customHeight="false" outlineLevel="0" collapsed="false">
      <c r="G202" s="4" t="str">
        <f aca="false">IFERROR(IF(SUM(I202 * A$18)&lt;1,"",SUM(I202 * A$18)),"")</f>
        <v/>
      </c>
      <c r="I202" s="4" t="str">
        <f aca="false">IFERROR(IF(I201*(1+$A$18) - ($A$17*12) * (1+$A$16)^ROW()&lt;0,"",I201*(1+$A$18) - ($A$17*12) * (1+$A$16)^ROW()),"")</f>
        <v/>
      </c>
    </row>
    <row r="203" customFormat="false" ht="12.8" hidden="false" customHeight="false" outlineLevel="0" collapsed="false">
      <c r="G203" s="4" t="str">
        <f aca="false">IFERROR(IF(SUM(I203 * A$18)&lt;1,"",SUM(I203 * A$18)),"")</f>
        <v/>
      </c>
      <c r="I203" s="4" t="str">
        <f aca="false">IFERROR(IF(I202*(1+$A$18) - ($A$17*12) * (1+$A$16)^ROW()&lt;0,"",I202*(1+$A$18) - ($A$17*12) * (1+$A$16)^ROW()),"")</f>
        <v/>
      </c>
    </row>
    <row r="204" customFormat="false" ht="12.8" hidden="false" customHeight="false" outlineLevel="0" collapsed="false">
      <c r="G204" s="4" t="str">
        <f aca="false">IFERROR(IF(SUM(I204 * A$18)&lt;1,"",SUM(I204 * A$18)),"")</f>
        <v/>
      </c>
      <c r="I204" s="4" t="str">
        <f aca="false">IFERROR(IF(I203*(1+$A$18) - ($A$17*12) * (1+$A$16)^ROW()&lt;0,"",I203*(1+$A$18) - ($A$17*12) * (1+$A$16)^ROW()),"")</f>
        <v/>
      </c>
    </row>
    <row r="205" customFormat="false" ht="12.8" hidden="false" customHeight="false" outlineLevel="0" collapsed="false">
      <c r="G205" s="4" t="str">
        <f aca="false">IFERROR(IF(SUM(I205 * A$18)&lt;1,"",SUM(I205 * A$18)),"")</f>
        <v/>
      </c>
      <c r="I205" s="4" t="str">
        <f aca="false">IFERROR(IF(I204*(1+$A$18) - ($A$17*12) * (1+$A$16)^ROW()&lt;0,"",I204*(1+$A$18) - ($A$17*12) * (1+$A$16)^ROW()),"")</f>
        <v/>
      </c>
    </row>
    <row r="206" customFormat="false" ht="12.8" hidden="false" customHeight="false" outlineLevel="0" collapsed="false">
      <c r="G206" s="4" t="str">
        <f aca="false">IFERROR(IF(SUM(I206 * A$18)&lt;1,"",SUM(I206 * A$18)),"")</f>
        <v/>
      </c>
      <c r="I206" s="4" t="str">
        <f aca="false">IFERROR(IF(I205*(1+$A$18) - ($A$17*12) * (1+$A$16)^ROW()&lt;0,"",I205*(1+$A$18) - ($A$17*12) * (1+$A$16)^ROW()),"")</f>
        <v/>
      </c>
    </row>
    <row r="207" customFormat="false" ht="12.8" hidden="false" customHeight="false" outlineLevel="0" collapsed="false">
      <c r="G207" s="4" t="str">
        <f aca="false">IFERROR(IF(SUM(I207 * A$18)&lt;1,"",SUM(I207 * A$18)),"")</f>
        <v/>
      </c>
      <c r="I207" s="4" t="str">
        <f aca="false">IFERROR(IF(I206*(1+$A$18) - ($A$17*12) * (1+$A$16)^ROW()&lt;0,"",I206*(1+$A$18) - ($A$17*12) * (1+$A$16)^ROW()),"")</f>
        <v/>
      </c>
    </row>
    <row r="208" customFormat="false" ht="12.8" hidden="false" customHeight="false" outlineLevel="0" collapsed="false">
      <c r="G208" s="4" t="str">
        <f aca="false">IFERROR(IF(SUM(I208 * A$18)&lt;1,"",SUM(I208 * A$18)),"")</f>
        <v/>
      </c>
      <c r="I208" s="4" t="str">
        <f aca="false">IFERROR(IF(I207*(1+$A$18) - ($A$17*12) * (1+$A$16)^ROW()&lt;0,"",I207*(1+$A$18) - ($A$17*12) * (1+$A$16)^ROW()),"")</f>
        <v/>
      </c>
    </row>
    <row r="209" customFormat="false" ht="12.8" hidden="false" customHeight="false" outlineLevel="0" collapsed="false">
      <c r="G209" s="4" t="str">
        <f aca="false">IFERROR(IF(SUM(I209 * A$18)&lt;1,"",SUM(I209 * A$18)),"")</f>
        <v/>
      </c>
      <c r="I209" s="4" t="str">
        <f aca="false">IFERROR(IF(I208*(1+$A$18) - ($A$17*12) * (1+$A$16)^ROW()&lt;0,"",I208*(1+$A$18) - ($A$17*12) * (1+$A$16)^ROW()),"")</f>
        <v/>
      </c>
    </row>
    <row r="210" customFormat="false" ht="12.8" hidden="false" customHeight="false" outlineLevel="0" collapsed="false">
      <c r="G210" s="4" t="str">
        <f aca="false">IFERROR(IF(SUM(I210 * A$18)&lt;1,"",SUM(I210 * A$18)),"")</f>
        <v/>
      </c>
      <c r="I210" s="4" t="str">
        <f aca="false">IFERROR(IF(I209*(1+$A$18) - ($A$17*12) * (1+$A$16)^ROW()&lt;0,"",I209*(1+$A$18) - ($A$17*12) * (1+$A$16)^ROW()),"")</f>
        <v/>
      </c>
    </row>
    <row r="211" customFormat="false" ht="12.8" hidden="false" customHeight="false" outlineLevel="0" collapsed="false">
      <c r="G211" s="4" t="str">
        <f aca="false">IFERROR(IF(SUM(I211 * A$18)&lt;1,"",SUM(I211 * A$18)),"")</f>
        <v/>
      </c>
      <c r="I211" s="4" t="str">
        <f aca="false">IFERROR(IF(I210*(1+$A$18) - ($A$17*12) * (1+$A$16)^ROW()&lt;0,"",I210*(1+$A$18) - ($A$17*12) * (1+$A$16)^ROW()),"")</f>
        <v/>
      </c>
    </row>
    <row r="212" customFormat="false" ht="12.8" hidden="false" customHeight="false" outlineLevel="0" collapsed="false">
      <c r="G212" s="4" t="str">
        <f aca="false">IFERROR(IF(SUM(I212 * A$18)&lt;1,"",SUM(I212 * A$18)),"")</f>
        <v/>
      </c>
      <c r="I212" s="4" t="str">
        <f aca="false">IFERROR(IF(I211*(1+$A$18) - ($A$17*12) * (1+$A$16)^ROW()&lt;0,"",I211*(1+$A$18) - ($A$17*12) * (1+$A$16)^ROW()),"")</f>
        <v/>
      </c>
    </row>
    <row r="213" customFormat="false" ht="12.8" hidden="false" customHeight="false" outlineLevel="0" collapsed="false">
      <c r="G213" s="4" t="str">
        <f aca="false">IFERROR(IF(SUM(I213 * A$18)&lt;1,"",SUM(I213 * A$18)),"")</f>
        <v/>
      </c>
      <c r="I213" s="4" t="str">
        <f aca="false">IFERROR(IF(I212*(1+$A$18) - ($A$17*12) * (1+$A$16)^ROW()&lt;0,"",I212*(1+$A$18) - ($A$17*12) * (1+$A$16)^ROW()),"")</f>
        <v/>
      </c>
    </row>
    <row r="214" customFormat="false" ht="12.8" hidden="false" customHeight="false" outlineLevel="0" collapsed="false">
      <c r="G214" s="4" t="str">
        <f aca="false">IFERROR(IF(SUM(I214 * A$18)&lt;1,"",SUM(I214 * A$18)),"")</f>
        <v/>
      </c>
      <c r="I214" s="4" t="str">
        <f aca="false">IFERROR(IF(I213*(1+$A$18) - ($A$17*12) * (1+$A$16)^ROW()&lt;0,"",I213*(1+$A$18) - ($A$17*12) * (1+$A$16)^ROW()),"")</f>
        <v/>
      </c>
    </row>
    <row r="215" customFormat="false" ht="12.8" hidden="false" customHeight="false" outlineLevel="0" collapsed="false">
      <c r="G215" s="4" t="str">
        <f aca="false">IFERROR(IF(SUM(I215 * A$18)&lt;1,"",SUM(I215 * A$18)),"")</f>
        <v/>
      </c>
      <c r="I215" s="4" t="str">
        <f aca="false">IFERROR(IF(I214*(1+$A$18) - ($A$17*12) * (1+$A$16)^ROW()&lt;0,"",I214*(1+$A$18) - ($A$17*12) * (1+$A$16)^ROW()),"")</f>
        <v/>
      </c>
    </row>
    <row r="216" customFormat="false" ht="12.8" hidden="false" customHeight="false" outlineLevel="0" collapsed="false">
      <c r="G216" s="4" t="str">
        <f aca="false">IFERROR(IF(SUM(I216 * A$18)&lt;1,"",SUM(I216 * A$18)),"")</f>
        <v/>
      </c>
      <c r="I216" s="4" t="str">
        <f aca="false">IFERROR(IF(I215*(1+$A$18) - ($A$17*12) * (1+$A$16)^ROW()&lt;0,"",I215*(1+$A$18) - ($A$17*12) * (1+$A$16)^ROW()),"")</f>
        <v/>
      </c>
    </row>
    <row r="217" customFormat="false" ht="12.8" hidden="false" customHeight="false" outlineLevel="0" collapsed="false">
      <c r="G217" s="4" t="str">
        <f aca="false">IFERROR(IF(SUM(I217 * A$18)&lt;1,"",SUM(I217 * A$18)),"")</f>
        <v/>
      </c>
      <c r="I217" s="4" t="str">
        <f aca="false">IFERROR(IF(I216*(1+$A$18) - ($A$17*12) * (1+$A$16)^ROW()&lt;0,"",I216*(1+$A$18) - ($A$17*12) * (1+$A$16)^ROW()),"")</f>
        <v/>
      </c>
    </row>
    <row r="218" customFormat="false" ht="12.8" hidden="false" customHeight="false" outlineLevel="0" collapsed="false">
      <c r="G218" s="4" t="str">
        <f aca="false">IFERROR(IF(SUM(I218 * A$18)&lt;1,"",SUM(I218 * A$18)),"")</f>
        <v/>
      </c>
      <c r="I218" s="4" t="str">
        <f aca="false">IFERROR(IF(I217*(1+$A$18) - ($A$17*12) * (1+$A$16)^ROW()&lt;0,"",I217*(1+$A$18) - ($A$17*12) * (1+$A$16)^ROW()),"")</f>
        <v/>
      </c>
    </row>
    <row r="219" customFormat="false" ht="12.8" hidden="false" customHeight="false" outlineLevel="0" collapsed="false">
      <c r="G219" s="4" t="str">
        <f aca="false">IFERROR(IF(SUM(I219 * A$18)&lt;1,"",SUM(I219 * A$18)),"")</f>
        <v/>
      </c>
      <c r="I219" s="4" t="str">
        <f aca="false">IFERROR(IF(I218*(1+$A$18) - ($A$17*12) * (1+$A$16)^ROW()&lt;0,"",I218*(1+$A$18) - ($A$17*12) * (1+$A$16)^ROW()),"")</f>
        <v/>
      </c>
    </row>
    <row r="220" customFormat="false" ht="12.8" hidden="false" customHeight="false" outlineLevel="0" collapsed="false">
      <c r="G220" s="4" t="str">
        <f aca="false">IFERROR(IF(SUM(I220 * A$18)&lt;1,"",SUM(I220 * A$18)),"")</f>
        <v/>
      </c>
      <c r="I220" s="4" t="str">
        <f aca="false">IFERROR(IF(I219*(1+$A$18) - ($A$17*12) * (1+$A$16)^ROW()&lt;0,"",I219*(1+$A$18) - ($A$17*12) * (1+$A$16)^ROW()),"")</f>
        <v/>
      </c>
    </row>
    <row r="221" customFormat="false" ht="12.8" hidden="false" customHeight="false" outlineLevel="0" collapsed="false">
      <c r="G221" s="4" t="str">
        <f aca="false">IFERROR(IF(SUM(I221 * A$18)&lt;1,"",SUM(I221 * A$18)),"")</f>
        <v/>
      </c>
      <c r="I221" s="4" t="str">
        <f aca="false">IFERROR(IF(I220*(1+$A$18) - ($A$17*12) * (1+$A$16)^ROW()&lt;0,"",I220*(1+$A$18) - ($A$17*12) * (1+$A$16)^ROW()),"")</f>
        <v/>
      </c>
    </row>
    <row r="222" customFormat="false" ht="12.8" hidden="false" customHeight="false" outlineLevel="0" collapsed="false">
      <c r="G222" s="4" t="str">
        <f aca="false">IFERROR(IF(SUM(I222 * A$18)&lt;1,"",SUM(I222 * A$18)),"")</f>
        <v/>
      </c>
      <c r="I222" s="4" t="str">
        <f aca="false">IFERROR(IF(I221*(1+$A$18) - ($A$17*12) * (1+$A$16)^ROW()&lt;0,"",I221*(1+$A$18) - ($A$17*12) * (1+$A$16)^ROW()),"")</f>
        <v/>
      </c>
    </row>
    <row r="223" customFormat="false" ht="12.8" hidden="false" customHeight="false" outlineLevel="0" collapsed="false">
      <c r="G223" s="4" t="str">
        <f aca="false">IFERROR(IF(SUM(I223 * A$18)&lt;1,"",SUM(I223 * A$18)),"")</f>
        <v/>
      </c>
      <c r="I223" s="4" t="str">
        <f aca="false">IFERROR(IF(I222*(1+$A$18) - ($A$17*12) * (1+$A$16)^ROW()&lt;0,"",I222*(1+$A$18) - ($A$17*12) * (1+$A$16)^ROW()),"")</f>
        <v/>
      </c>
    </row>
    <row r="224" customFormat="false" ht="12.8" hidden="false" customHeight="false" outlineLevel="0" collapsed="false">
      <c r="G224" s="4" t="str">
        <f aca="false">IFERROR(IF(SUM(I224 * A$18)&lt;1,"",SUM(I224 * A$18)),"")</f>
        <v/>
      </c>
      <c r="I224" s="4" t="str">
        <f aca="false">IFERROR(IF(I223*(1+$A$18) - ($A$17*12) * (1+$A$16)^ROW()&lt;0,"",I223*(1+$A$18) - ($A$17*12) * (1+$A$16)^ROW()),"")</f>
        <v/>
      </c>
    </row>
    <row r="225" customFormat="false" ht="12.8" hidden="false" customHeight="false" outlineLevel="0" collapsed="false">
      <c r="G225" s="4" t="str">
        <f aca="false">IFERROR(IF(SUM(I225 * A$18)&lt;1,"",SUM(I225 * A$18)),"")</f>
        <v/>
      </c>
      <c r="I225" s="4" t="str">
        <f aca="false">IFERROR(IF(I224*(1+$A$18) - ($A$17*12) * (1+$A$16)^ROW()&lt;0,"",I224*(1+$A$18) - ($A$17*12) * (1+$A$16)^ROW()),"")</f>
        <v/>
      </c>
    </row>
    <row r="226" customFormat="false" ht="12.8" hidden="false" customHeight="false" outlineLevel="0" collapsed="false">
      <c r="G226" s="4" t="str">
        <f aca="false">IFERROR(IF(SUM(I226 * A$18)&lt;1,"",SUM(I226 * A$18)),"")</f>
        <v/>
      </c>
      <c r="I226" s="4" t="str">
        <f aca="false">IFERROR(IF(I225*(1+$A$18) - ($A$17*12) * (1+$A$16)^ROW()&lt;0,"",I225*(1+$A$18) - ($A$17*12) * (1+$A$16)^ROW()),"")</f>
        <v/>
      </c>
    </row>
    <row r="227" customFormat="false" ht="12.8" hidden="false" customHeight="false" outlineLevel="0" collapsed="false">
      <c r="G227" s="4" t="str">
        <f aca="false">IFERROR(IF(SUM(I227 * A$18)&lt;1,"",SUM(I227 * A$18)),"")</f>
        <v/>
      </c>
      <c r="I227" s="4" t="str">
        <f aca="false">IFERROR(IF(I226*(1+$A$18) - ($A$17*12) * (1+$A$16)^ROW()&lt;0,"",I226*(1+$A$18) - ($A$17*12) * (1+$A$16)^ROW()),"")</f>
        <v/>
      </c>
    </row>
    <row r="228" customFormat="false" ht="12.8" hidden="false" customHeight="false" outlineLevel="0" collapsed="false">
      <c r="G228" s="4" t="str">
        <f aca="false">IFERROR(IF(SUM(I228 * A$18)&lt;1,"",SUM(I228 * A$18)),"")</f>
        <v/>
      </c>
      <c r="I228" s="4" t="str">
        <f aca="false">IFERROR(IF(I227*(1+$A$18) - ($A$17*12) * (1+$A$16)^ROW()&lt;0,"",I227*(1+$A$18) - ($A$17*12) * (1+$A$16)^ROW()),"")</f>
        <v/>
      </c>
    </row>
    <row r="229" customFormat="false" ht="12.8" hidden="false" customHeight="false" outlineLevel="0" collapsed="false">
      <c r="G229" s="4" t="str">
        <f aca="false">IFERROR(IF(SUM(I229 * A$18)&lt;1,"",SUM(I229 * A$18)),"")</f>
        <v/>
      </c>
      <c r="I229" s="4" t="str">
        <f aca="false">IFERROR(IF(I228*(1+$A$18) - ($A$17*12) * (1+$A$16)^ROW()&lt;0,"",I228*(1+$A$18) - ($A$17*12) * (1+$A$16)^ROW()),"")</f>
        <v/>
      </c>
    </row>
    <row r="230" customFormat="false" ht="12.8" hidden="false" customHeight="false" outlineLevel="0" collapsed="false">
      <c r="G230" s="4" t="str">
        <f aca="false">IFERROR(IF(SUM(I230 * A$18)&lt;1,"",SUM(I230 * A$18)),"")</f>
        <v/>
      </c>
      <c r="I230" s="4" t="str">
        <f aca="false">IFERROR(IF(I229*(1+$A$18) - ($A$17*12) * (1+$A$16)^ROW()&lt;0,"",I229*(1+$A$18) - ($A$17*12) * (1+$A$16)^ROW()),"")</f>
        <v/>
      </c>
    </row>
    <row r="231" customFormat="false" ht="12.8" hidden="false" customHeight="false" outlineLevel="0" collapsed="false">
      <c r="G231" s="4" t="str">
        <f aca="false">IFERROR(IF(SUM(I231 * A$18)&lt;1,"",SUM(I231 * A$18)),"")</f>
        <v/>
      </c>
      <c r="I231" s="4" t="str">
        <f aca="false">IFERROR(IF(I230*(1+$A$18) - ($A$17*12) * (1+$A$16)^ROW()&lt;0,"",I230*(1+$A$18) - ($A$17*12) * (1+$A$16)^ROW()),"")</f>
        <v/>
      </c>
    </row>
    <row r="232" customFormat="false" ht="12.8" hidden="false" customHeight="false" outlineLevel="0" collapsed="false">
      <c r="G232" s="4" t="str">
        <f aca="false">IFERROR(IF(SUM(I232 * A$18)&lt;1,"",SUM(I232 * A$18)),"")</f>
        <v/>
      </c>
      <c r="I232" s="4" t="str">
        <f aca="false">IFERROR(IF(I231*(1+$A$18) - ($A$17*12) * (1+$A$16)^ROW()&lt;0,"",I231*(1+$A$18) - ($A$17*12) * (1+$A$16)^ROW()),"")</f>
        <v/>
      </c>
    </row>
    <row r="233" customFormat="false" ht="12.8" hidden="false" customHeight="false" outlineLevel="0" collapsed="false">
      <c r="G233" s="4" t="str">
        <f aca="false">IFERROR(IF(SUM(I233 * A$18)&lt;1,"",SUM(I233 * A$18)),"")</f>
        <v/>
      </c>
      <c r="I233" s="4" t="str">
        <f aca="false">IFERROR(IF(I232*(1+$A$18) - ($A$17*12) * (1+$A$16)^ROW()&lt;0,"",I232*(1+$A$18) - ($A$17*12) * (1+$A$16)^ROW()),"")</f>
        <v/>
      </c>
    </row>
    <row r="234" customFormat="false" ht="12.8" hidden="false" customHeight="false" outlineLevel="0" collapsed="false">
      <c r="G234" s="4" t="str">
        <f aca="false">IFERROR(IF(SUM(I234 * A$18)&lt;1,"",SUM(I234 * A$18)),"")</f>
        <v/>
      </c>
      <c r="I234" s="4" t="str">
        <f aca="false">IFERROR(IF(I233*(1+$A$18) - ($A$17*12) * (1+$A$16)^ROW()&lt;0,"",I233*(1+$A$18) - ($A$17*12) * (1+$A$16)^ROW()),"")</f>
        <v/>
      </c>
    </row>
    <row r="235" customFormat="false" ht="12.8" hidden="false" customHeight="false" outlineLevel="0" collapsed="false">
      <c r="G235" s="4" t="str">
        <f aca="false">IFERROR(IF(SUM(I235 * A$18)&lt;1,"",SUM(I235 * A$18)),"")</f>
        <v/>
      </c>
      <c r="I235" s="4" t="str">
        <f aca="false">IFERROR(IF(I234*(1+$A$18) - ($A$17*12) * (1+$A$16)^ROW()&lt;0,"",I234*(1+$A$18) - ($A$17*12) * (1+$A$16)^ROW()),"")</f>
        <v/>
      </c>
    </row>
    <row r="236" customFormat="false" ht="12.8" hidden="false" customHeight="false" outlineLevel="0" collapsed="false">
      <c r="G236" s="4" t="str">
        <f aca="false">IFERROR(IF(SUM(I236 * A$18)&lt;1,"",SUM(I236 * A$18)),"")</f>
        <v/>
      </c>
      <c r="I236" s="4" t="str">
        <f aca="false">IFERROR(IF(I235*(1+$A$18) - ($A$17*12) * (1+$A$16)^ROW()&lt;0,"",I235*(1+$A$18) - ($A$17*12) * (1+$A$16)^ROW()),"")</f>
        <v/>
      </c>
    </row>
    <row r="237" customFormat="false" ht="12.8" hidden="false" customHeight="false" outlineLevel="0" collapsed="false">
      <c r="G237" s="4" t="str">
        <f aca="false">IFERROR(IF(SUM(I237 * A$18)&lt;1,"",SUM(I237 * A$18)),"")</f>
        <v/>
      </c>
      <c r="I237" s="4" t="str">
        <f aca="false">IFERROR(IF(I236*(1+$A$18) - ($A$17*12) * (1+$A$16)^ROW()&lt;0,"",I236*(1+$A$18) - ($A$17*12) * (1+$A$16)^ROW()),"")</f>
        <v/>
      </c>
    </row>
    <row r="238" customFormat="false" ht="12.8" hidden="false" customHeight="false" outlineLevel="0" collapsed="false">
      <c r="G238" s="4" t="str">
        <f aca="false">IFERROR(IF(SUM(I238 * A$18)&lt;1,"",SUM(I238 * A$18)),"")</f>
        <v/>
      </c>
      <c r="I238" s="4" t="str">
        <f aca="false">IFERROR(IF(I237*(1+$A$18) - ($A$17*12) * (1+$A$16)^ROW()&lt;0,"",I237*(1+$A$18) - ($A$17*12) * (1+$A$16)^ROW()),"")</f>
        <v/>
      </c>
    </row>
    <row r="239" customFormat="false" ht="12.8" hidden="false" customHeight="false" outlineLevel="0" collapsed="false">
      <c r="G239" s="4" t="str">
        <f aca="false">IFERROR(IF(SUM(I239 * A$18)&lt;1,"",SUM(I239 * A$18)),"")</f>
        <v/>
      </c>
      <c r="I239" s="4" t="str">
        <f aca="false">IFERROR(IF(I238*(1+$A$18) - ($A$17*12) * (1+$A$16)^ROW()&lt;0,"",I238*(1+$A$18) - ($A$17*12) * (1+$A$16)^ROW()),"")</f>
        <v/>
      </c>
    </row>
    <row r="240" customFormat="false" ht="12.8" hidden="false" customHeight="false" outlineLevel="0" collapsed="false">
      <c r="G240" s="4" t="str">
        <f aca="false">IFERROR(IF(SUM(I240 * A$18)&lt;1,"",SUM(I240 * A$18)),"")</f>
        <v/>
      </c>
      <c r="I240" s="4" t="str">
        <f aca="false">IFERROR(IF(I239*(1+$A$18) - ($A$17*12) * (1+$A$16)^ROW()&lt;0,"",I239*(1+$A$18) - ($A$17*12) * (1+$A$16)^ROW()),"")</f>
        <v/>
      </c>
    </row>
    <row r="241" customFormat="false" ht="12.8" hidden="false" customHeight="false" outlineLevel="0" collapsed="false">
      <c r="G241" s="4" t="str">
        <f aca="false">IFERROR(IF(SUM(I241 * A$18)&lt;1,"",SUM(I241 * A$18)),"")</f>
        <v/>
      </c>
      <c r="I241" s="4" t="str">
        <f aca="false">IFERROR(IF(I240*(1+$A$18) - ($A$17*12) * (1+$A$16)^ROW()&lt;0,"",I240*(1+$A$18) - ($A$17*12) * (1+$A$16)^ROW()),"")</f>
        <v/>
      </c>
    </row>
    <row r="242" customFormat="false" ht="12.8" hidden="false" customHeight="false" outlineLevel="0" collapsed="false">
      <c r="G242" s="4" t="str">
        <f aca="false">IFERROR(IF(SUM(I242 * A$18)&lt;1,"",SUM(I242 * A$18)),"")</f>
        <v/>
      </c>
      <c r="I242" s="4" t="str">
        <f aca="false">IFERROR(IF(I241*(1+$A$18) - ($A$17*12) * (1+$A$16)^ROW()&lt;0,"",I241*(1+$A$18) - ($A$17*12) * (1+$A$16)^ROW()),"")</f>
        <v/>
      </c>
    </row>
    <row r="243" customFormat="false" ht="12.8" hidden="false" customHeight="false" outlineLevel="0" collapsed="false">
      <c r="G243" s="4" t="str">
        <f aca="false">IFERROR(IF(SUM(I243 * A$18)&lt;1,"",SUM(I243 * A$18)),"")</f>
        <v/>
      </c>
      <c r="I243" s="4" t="str">
        <f aca="false">IFERROR(IF(I242*(1+$A$18) - ($A$17*12) * (1+$A$16)^ROW()&lt;0,"",I242*(1+$A$18) - ($A$17*12) * (1+$A$16)^ROW()),"")</f>
        <v/>
      </c>
    </row>
    <row r="244" customFormat="false" ht="12.8" hidden="false" customHeight="false" outlineLevel="0" collapsed="false">
      <c r="G244" s="4" t="str">
        <f aca="false">IFERROR(IF(SUM(I244 * A$18)&lt;1,"",SUM(I244 * A$18)),"")</f>
        <v/>
      </c>
      <c r="I244" s="4" t="str">
        <f aca="false">IFERROR(IF(I243*(1+$A$18) - ($A$17*12) * (1+$A$16)^ROW()&lt;0,"",I243*(1+$A$18) - ($A$17*12) * (1+$A$16)^ROW()),"")</f>
        <v/>
      </c>
    </row>
    <row r="245" customFormat="false" ht="12.8" hidden="false" customHeight="false" outlineLevel="0" collapsed="false">
      <c r="G245" s="4" t="str">
        <f aca="false">IFERROR(IF(SUM(I245 * A$18)&lt;1,"",SUM(I245 * A$18)),"")</f>
        <v/>
      </c>
      <c r="I245" s="4" t="str">
        <f aca="false">IFERROR(IF(I244*(1+$A$18) - ($A$17*12) * (1+$A$16)^ROW()&lt;0,"",I244*(1+$A$18) - ($A$17*12) * (1+$A$16)^ROW()),"")</f>
        <v/>
      </c>
    </row>
    <row r="246" customFormat="false" ht="12.8" hidden="false" customHeight="false" outlineLevel="0" collapsed="false">
      <c r="G246" s="4" t="str">
        <f aca="false">IFERROR(IF(SUM(I246 * A$18)&lt;1,"",SUM(I246 * A$18)),"")</f>
        <v/>
      </c>
      <c r="I246" s="4" t="str">
        <f aca="false">IFERROR(IF(I245*(1+$A$18) - ($A$17*12) * (1+$A$16)^ROW()&lt;0,"",I245*(1+$A$18) - ($A$17*12) * (1+$A$16)^ROW()),"")</f>
        <v/>
      </c>
    </row>
    <row r="247" customFormat="false" ht="12.8" hidden="false" customHeight="false" outlineLevel="0" collapsed="false">
      <c r="G247" s="4" t="str">
        <f aca="false">IFERROR(IF(SUM(I247 * A$18)&lt;1,"",SUM(I247 * A$18)),"")</f>
        <v/>
      </c>
      <c r="I247" s="4" t="str">
        <f aca="false">IFERROR(IF(I246*(1+$A$18) - ($A$17*12) * (1+$A$16)^ROW()&lt;0,"",I246*(1+$A$18) - ($A$17*12) * (1+$A$16)^ROW()),"")</f>
        <v/>
      </c>
    </row>
    <row r="248" customFormat="false" ht="12.8" hidden="false" customHeight="false" outlineLevel="0" collapsed="false">
      <c r="G248" s="4" t="str">
        <f aca="false">IFERROR(IF(SUM(I248 * A$18)&lt;1,"",SUM(I248 * A$18)),"")</f>
        <v/>
      </c>
      <c r="I248" s="4" t="str">
        <f aca="false">IFERROR(IF(I247*(1+$A$18) - ($A$17*12) * (1+$A$16)^ROW()&lt;0,"",I247*(1+$A$18) - ($A$17*12) * (1+$A$16)^ROW()),"")</f>
        <v/>
      </c>
    </row>
    <row r="249" customFormat="false" ht="12.8" hidden="false" customHeight="false" outlineLevel="0" collapsed="false">
      <c r="G249" s="4" t="str">
        <f aca="false">IFERROR(IF(SUM(I249 * A$18)&lt;1,"",SUM(I249 * A$18)),"")</f>
        <v/>
      </c>
    </row>
    <row r="250" customFormat="false" ht="12.8" hidden="false" customHeight="false" outlineLevel="0" collapsed="false">
      <c r="G250" s="4" t="str">
        <f aca="false">IFERROR(IF(SUM(I250 * A$18)&lt;1,"",SUM(I250 * A$18)),"")</f>
        <v/>
      </c>
    </row>
    <row r="251" customFormat="false" ht="12.8" hidden="false" customHeight="false" outlineLevel="0" collapsed="false">
      <c r="G251" s="4" t="str">
        <f aca="false">IFERROR(IF(SUM(I251 * A$18)&lt;1,"",SUM(I251 * A$18)),"")</f>
        <v/>
      </c>
    </row>
    <row r="252" customFormat="false" ht="12.8" hidden="false" customHeight="false" outlineLevel="0" collapsed="false">
      <c r="G252" s="4" t="str">
        <f aca="false">IFERROR(IF(SUM(I252 * A$18)&lt;1,"",SUM(I252 * A$18)),"")</f>
        <v/>
      </c>
    </row>
    <row r="253" customFormat="false" ht="12.8" hidden="false" customHeight="false" outlineLevel="0" collapsed="false">
      <c r="G253" s="4" t="str">
        <f aca="false">IFERROR(IF(SUM(I253 * A$18)&lt;1,"",SUM(I253 * A$18)),"")</f>
        <v/>
      </c>
    </row>
    <row r="254" customFormat="false" ht="12.8" hidden="false" customHeight="false" outlineLevel="0" collapsed="false">
      <c r="G254" s="4" t="str">
        <f aca="false">IFERROR(IF(SUM(I254 * A$18)&lt;1,"",SUM(I254 * A$18)),"")</f>
        <v/>
      </c>
    </row>
    <row r="255" customFormat="false" ht="12.8" hidden="false" customHeight="false" outlineLevel="0" collapsed="false">
      <c r="G255" s="4" t="str">
        <f aca="false">IFERROR(IF(SUM(I255 * A$18)&lt;1,"",SUM(I255 * A$18)),"")</f>
        <v/>
      </c>
    </row>
    <row r="256" customFormat="false" ht="12.8" hidden="false" customHeight="false" outlineLevel="0" collapsed="false">
      <c r="G256" s="4" t="str">
        <f aca="false">IFERROR(IF(SUM(I256 * A$18)&lt;1,"",SUM(I256 * A$18)),"")</f>
        <v/>
      </c>
    </row>
    <row r="257" customFormat="false" ht="12.8" hidden="false" customHeight="false" outlineLevel="0" collapsed="false">
      <c r="G257" s="4" t="str">
        <f aca="false">IFERROR(IF(SUM(I257 * A$18)&lt;1,"",SUM(I257 * A$18)),"")</f>
        <v/>
      </c>
    </row>
    <row r="258" customFormat="false" ht="12.8" hidden="false" customHeight="false" outlineLevel="0" collapsed="false">
      <c r="G258" s="4" t="str">
        <f aca="false">IFERROR(IF(SUM(I258 * A$18)&lt;1,"",SUM(I258 * A$18)),"")</f>
        <v/>
      </c>
    </row>
    <row r="259" customFormat="false" ht="12.8" hidden="false" customHeight="false" outlineLevel="0" collapsed="false">
      <c r="G259" s="4" t="str">
        <f aca="false">IFERROR(IF(SUM(I259 * A$18)&lt;1,"",SUM(I259 * A$18)),"")</f>
        <v/>
      </c>
    </row>
    <row r="260" customFormat="false" ht="12.8" hidden="false" customHeight="false" outlineLevel="0" collapsed="false">
      <c r="G260" s="4" t="str">
        <f aca="false">IFERROR(IF(SUM(I260 * A$18)&lt;1,"",SUM(I260 * A$18)),"")</f>
        <v/>
      </c>
    </row>
    <row r="261" customFormat="false" ht="12.8" hidden="false" customHeight="false" outlineLevel="0" collapsed="false">
      <c r="G261" s="4" t="str">
        <f aca="false">IFERROR(IF(SUM(I261 * A$18)&lt;1,"",SUM(I261 * A$18)),"")</f>
        <v/>
      </c>
    </row>
    <row r="262" customFormat="false" ht="12.8" hidden="false" customHeight="false" outlineLevel="0" collapsed="false">
      <c r="G262" s="4" t="str">
        <f aca="false">IFERROR(IF(SUM(I262 * A$18)&lt;1,"",SUM(I262 * A$18)),"")</f>
        <v/>
      </c>
    </row>
    <row r="263" customFormat="false" ht="12.8" hidden="false" customHeight="false" outlineLevel="0" collapsed="false">
      <c r="G263" s="4" t="str">
        <f aca="false">IFERROR(IF(SUM(I263 * A$18)&lt;1,"",SUM(I263 * A$18)),"")</f>
        <v/>
      </c>
    </row>
    <row r="264" customFormat="false" ht="12.8" hidden="false" customHeight="false" outlineLevel="0" collapsed="false">
      <c r="G264" s="4" t="str">
        <f aca="false">IFERROR(IF(SUM(I264 * A$18)&lt;1,"",SUM(I264 * A$18)),"")</f>
        <v/>
      </c>
    </row>
    <row r="265" customFormat="false" ht="12.8" hidden="false" customHeight="false" outlineLevel="0" collapsed="false">
      <c r="G265" s="4" t="str">
        <f aca="false">IFERROR(IF(SUM(I265 * A$18)&lt;1,"",SUM(I265 * A$18)),"")</f>
        <v/>
      </c>
    </row>
    <row r="266" customFormat="false" ht="12.8" hidden="false" customHeight="false" outlineLevel="0" collapsed="false">
      <c r="G266" s="4" t="str">
        <f aca="false">IFERROR(IF(SUM(I266 * A$18)&lt;1,"",SUM(I266 * A$18)),"")</f>
        <v/>
      </c>
    </row>
    <row r="267" customFormat="false" ht="12.8" hidden="false" customHeight="false" outlineLevel="0" collapsed="false">
      <c r="G267" s="4" t="str">
        <f aca="false">IFERROR(IF(SUM(I267 * A$18)&lt;1,"",SUM(I267 * A$18)),"")</f>
        <v/>
      </c>
    </row>
    <row r="268" customFormat="false" ht="12.8" hidden="false" customHeight="false" outlineLevel="0" collapsed="false">
      <c r="G268" s="4" t="str">
        <f aca="false">IFERROR(IF(SUM(I268 * A$18)&lt;1,"",SUM(I268 * A$18)),"")</f>
        <v/>
      </c>
    </row>
    <row r="269" customFormat="false" ht="12.8" hidden="false" customHeight="false" outlineLevel="0" collapsed="false">
      <c r="G269" s="4" t="str">
        <f aca="false">IFERROR(IF(SUM(I269 * A$18)&lt;1,"",SUM(I269 * A$18)),"")</f>
        <v/>
      </c>
    </row>
    <row r="270" customFormat="false" ht="12.8" hidden="false" customHeight="false" outlineLevel="0" collapsed="false">
      <c r="G270" s="4" t="str">
        <f aca="false">IFERROR(IF(SUM(I270 * A$18)&lt;1,"",SUM(I270 * A$18)),"")</f>
        <v/>
      </c>
    </row>
    <row r="271" customFormat="false" ht="12.8" hidden="false" customHeight="false" outlineLevel="0" collapsed="false">
      <c r="G271" s="4" t="str">
        <f aca="false">IFERROR(IF(SUM(I271 * A$18)&lt;1,"",SUM(I271 * A$18)),"")</f>
        <v/>
      </c>
    </row>
    <row r="272" customFormat="false" ht="12.8" hidden="false" customHeight="false" outlineLevel="0" collapsed="false">
      <c r="G272" s="4" t="str">
        <f aca="false">IFERROR(IF(SUM(I272 * A$18)&lt;1,"",SUM(I272 * A$18)),"")</f>
        <v/>
      </c>
    </row>
    <row r="273" customFormat="false" ht="12.8" hidden="false" customHeight="false" outlineLevel="0" collapsed="false">
      <c r="G273" s="4" t="str">
        <f aca="false">IFERROR(IF(SUM(I273 * A$18)&lt;1,"",SUM(I273 * A$18)),"")</f>
        <v/>
      </c>
    </row>
    <row r="274" customFormat="false" ht="12.8" hidden="false" customHeight="false" outlineLevel="0" collapsed="false">
      <c r="G274" s="4" t="str">
        <f aca="false">IFERROR(IF(SUM(I274 * A$18)&lt;1,"",SUM(I274 * A$18)),"")</f>
        <v/>
      </c>
    </row>
    <row r="275" customFormat="false" ht="12.8" hidden="false" customHeight="false" outlineLevel="0" collapsed="false">
      <c r="G275" s="4" t="str">
        <f aca="false">IFERROR(IF(SUM(I275 * A$18)&lt;1,"",SUM(I275 * A$18)),"")</f>
        <v/>
      </c>
    </row>
    <row r="276" customFormat="false" ht="12.8" hidden="false" customHeight="false" outlineLevel="0" collapsed="false">
      <c r="G276" s="4" t="str">
        <f aca="false">IFERROR(IF(SUM(I276 * A$18)&lt;1,"",SUM(I276 * A$18)),"")</f>
        <v/>
      </c>
    </row>
    <row r="277" customFormat="false" ht="12.8" hidden="false" customHeight="false" outlineLevel="0" collapsed="false">
      <c r="G277" s="4" t="str">
        <f aca="false">IFERROR(IF(SUM(I277 * A$18)&lt;1,"",SUM(I277 * A$18)),"")</f>
        <v/>
      </c>
    </row>
    <row r="278" customFormat="false" ht="12.8" hidden="false" customHeight="false" outlineLevel="0" collapsed="false">
      <c r="G278" s="4" t="str">
        <f aca="false">IFERROR(IF(SUM(I278 * A$18)&lt;1,"",SUM(I278 * A$18)),"")</f>
        <v/>
      </c>
    </row>
    <row r="279" customFormat="false" ht="12.8" hidden="false" customHeight="false" outlineLevel="0" collapsed="false">
      <c r="G279" s="4" t="str">
        <f aca="false">IFERROR(IF(SUM(I279 * A$18)&lt;1,"",SUM(I279 * A$18)),"")</f>
        <v/>
      </c>
    </row>
    <row r="280" customFormat="false" ht="12.8" hidden="false" customHeight="false" outlineLevel="0" collapsed="false">
      <c r="G280" s="4" t="str">
        <f aca="false">IFERROR(IF(SUM(I280 * A$18)&lt;1,"",SUM(I280 * A$18)),"")</f>
        <v/>
      </c>
    </row>
    <row r="281" customFormat="false" ht="12.8" hidden="false" customHeight="false" outlineLevel="0" collapsed="false">
      <c r="G281" s="4" t="str">
        <f aca="false">IFERROR(IF(SUM(I281 * A$18)&lt;1,"",SUM(I281 * A$18)),"")</f>
        <v/>
      </c>
    </row>
    <row r="282" customFormat="false" ht="12.8" hidden="false" customHeight="false" outlineLevel="0" collapsed="false">
      <c r="G282" s="4" t="str">
        <f aca="false">IFERROR(IF(SUM(I282 * A$18)&lt;1,"",SUM(I282 * A$18)),"")</f>
        <v/>
      </c>
    </row>
    <row r="283" customFormat="false" ht="12.8" hidden="false" customHeight="false" outlineLevel="0" collapsed="false">
      <c r="G283" s="4" t="str">
        <f aca="false">IFERROR(IF(SUM(I283 * A$18)&lt;1,"",SUM(I283 * A$18)),"")</f>
        <v/>
      </c>
    </row>
    <row r="284" customFormat="false" ht="12.8" hidden="false" customHeight="false" outlineLevel="0" collapsed="false">
      <c r="G284" s="4" t="str">
        <f aca="false">IFERROR(IF(SUM(I284 * A$18)&lt;1,"",SUM(I284 * A$18)),"")</f>
        <v/>
      </c>
    </row>
    <row r="285" customFormat="false" ht="12.8" hidden="false" customHeight="false" outlineLevel="0" collapsed="false">
      <c r="G285" s="4" t="str">
        <f aca="false">IFERROR(IF(SUM(I285 * A$18)&lt;1,"",SUM(I285 * A$18)),"")</f>
        <v/>
      </c>
    </row>
    <row r="286" customFormat="false" ht="12.8" hidden="false" customHeight="false" outlineLevel="0" collapsed="false">
      <c r="G286" s="4" t="str">
        <f aca="false">IFERROR(IF(SUM(I286 * A$18)&lt;1,"",SUM(I286 * A$18)),"")</f>
        <v/>
      </c>
    </row>
    <row r="287" customFormat="false" ht="12.8" hidden="false" customHeight="false" outlineLevel="0" collapsed="false">
      <c r="G287" s="4" t="str">
        <f aca="false">IFERROR(IF(SUM(I287 * A$18)&lt;1,"",SUM(I287 * A$18)),"")</f>
        <v/>
      </c>
    </row>
    <row r="288" customFormat="false" ht="12.8" hidden="false" customHeight="false" outlineLevel="0" collapsed="false">
      <c r="G288" s="4" t="str">
        <f aca="false">IFERROR(IF(SUM(I288 * A$18)&lt;1,"",SUM(I288 * A$18)),"")</f>
        <v/>
      </c>
    </row>
    <row r="289" customFormat="false" ht="12.8" hidden="false" customHeight="false" outlineLevel="0" collapsed="false">
      <c r="G289" s="4" t="str">
        <f aca="false">IFERROR(IF(SUM(I289 * A$18)&lt;1,"",SUM(I289 * A$18)),"")</f>
        <v/>
      </c>
    </row>
    <row r="290" customFormat="false" ht="12.8" hidden="false" customHeight="false" outlineLevel="0" collapsed="false">
      <c r="G290" s="4" t="str">
        <f aca="false">IFERROR(IF(SUM(I290 * A$18)&lt;1,"",SUM(I290 * A$18)),"")</f>
        <v/>
      </c>
    </row>
    <row r="291" customFormat="false" ht="12.8" hidden="false" customHeight="false" outlineLevel="0" collapsed="false">
      <c r="G291" s="4" t="str">
        <f aca="false">IFERROR(IF(SUM(I291 * A$18)&lt;1,"",SUM(I291 * A$18)),"")</f>
        <v/>
      </c>
    </row>
    <row r="292" customFormat="false" ht="12.8" hidden="false" customHeight="false" outlineLevel="0" collapsed="false">
      <c r="G292" s="4" t="str">
        <f aca="false">IFERROR(IF(SUM(I292 * A$18)&lt;1,"",SUM(I292 * A$18)),"")</f>
        <v/>
      </c>
    </row>
    <row r="293" customFormat="false" ht="12.8" hidden="false" customHeight="false" outlineLevel="0" collapsed="false">
      <c r="G293" s="4" t="str">
        <f aca="false">IFERROR(IF(SUM(I293 * A$18)&lt;1,"",SUM(I293 * A$18)),"")</f>
        <v/>
      </c>
    </row>
    <row r="294" customFormat="false" ht="12.8" hidden="false" customHeight="false" outlineLevel="0" collapsed="false">
      <c r="G294" s="4" t="str">
        <f aca="false">IFERROR(IF(SUM(I294 * A$18)&lt;1,"",SUM(I294 * A$18)),"")</f>
        <v/>
      </c>
    </row>
    <row r="295" customFormat="false" ht="12.8" hidden="false" customHeight="false" outlineLevel="0" collapsed="false">
      <c r="G295" s="4" t="str">
        <f aca="false">IFERROR(IF(SUM(I295 * A$18)&lt;1,"",SUM(I295 * A$18)),"")</f>
        <v/>
      </c>
    </row>
    <row r="296" customFormat="false" ht="12.8" hidden="false" customHeight="false" outlineLevel="0" collapsed="false">
      <c r="G296" s="4" t="str">
        <f aca="false">IFERROR(IF(SUM(I296 * A$18)&lt;1,"",SUM(I296 * A$18)),"")</f>
        <v/>
      </c>
    </row>
    <row r="297" customFormat="false" ht="12.8" hidden="false" customHeight="false" outlineLevel="0" collapsed="false">
      <c r="G297" s="4" t="str">
        <f aca="false">IFERROR(IF(SUM(I297 * A$18)&lt;1,"",SUM(I297 * A$18)),"")</f>
        <v/>
      </c>
    </row>
    <row r="298" customFormat="false" ht="12.8" hidden="false" customHeight="false" outlineLevel="0" collapsed="false">
      <c r="G298" s="4" t="str">
        <f aca="false">IFERROR(IF(SUM(I298 * A$18)&lt;1,"",SUM(I298 * A$18)),"")</f>
        <v/>
      </c>
    </row>
    <row r="299" customFormat="false" ht="12.8" hidden="false" customHeight="false" outlineLevel="0" collapsed="false">
      <c r="G299" s="4" t="str">
        <f aca="false">IFERROR(IF(SUM(I299 * A$18)&lt;1,"",SUM(I299 * A$18)),"")</f>
        <v/>
      </c>
    </row>
    <row r="300" customFormat="false" ht="12.8" hidden="false" customHeight="false" outlineLevel="0" collapsed="false">
      <c r="G300" s="4" t="str">
        <f aca="false">IFERROR(IF(SUM(I300 * A$18)&lt;1,"",SUM(I300 * A$18)),"")</f>
        <v/>
      </c>
    </row>
    <row r="301" customFormat="false" ht="12.8" hidden="false" customHeight="false" outlineLevel="0" collapsed="false">
      <c r="G301" s="4" t="str">
        <f aca="false">IFERROR(IF(SUM(I301 * A$18)&lt;1,"",SUM(I301 * A$18)),"")</f>
        <v/>
      </c>
    </row>
    <row r="302" customFormat="false" ht="12.8" hidden="false" customHeight="false" outlineLevel="0" collapsed="false">
      <c r="G302" s="4" t="str">
        <f aca="false">IFERROR(IF(SUM(I302 * A$18)&lt;1,"",SUM(I302 * A$18)),"")</f>
        <v/>
      </c>
    </row>
    <row r="303" customFormat="false" ht="12.8" hidden="false" customHeight="false" outlineLevel="0" collapsed="false">
      <c r="G303" s="4" t="str">
        <f aca="false">IFERROR(IF(SUM(I303 * A$18)&lt;1,"",SUM(I303 * A$18)),"")</f>
        <v/>
      </c>
    </row>
    <row r="304" customFormat="false" ht="12.8" hidden="false" customHeight="false" outlineLevel="0" collapsed="false">
      <c r="G304" s="4" t="str">
        <f aca="false">IFERROR(IF(SUM(I304 * A$18)&lt;1,"",SUM(I304 * A$18)),"")</f>
        <v/>
      </c>
    </row>
    <row r="305" customFormat="false" ht="12.8" hidden="false" customHeight="false" outlineLevel="0" collapsed="false">
      <c r="G305" s="4" t="str">
        <f aca="false">IFERROR(IF(SUM(I305 * A$18)&lt;1,"",SUM(I305 * A$18)),"")</f>
        <v/>
      </c>
    </row>
    <row r="306" customFormat="false" ht="12.8" hidden="false" customHeight="false" outlineLevel="0" collapsed="false">
      <c r="G306" s="4" t="str">
        <f aca="false">IFERROR(IF(SUM(I306 * A$18)&lt;1,"",SUM(I306 * A$18)),"")</f>
        <v/>
      </c>
    </row>
    <row r="307" customFormat="false" ht="12.8" hidden="false" customHeight="false" outlineLevel="0" collapsed="false">
      <c r="G307" s="4" t="str">
        <f aca="false">IFERROR(IF(SUM(I307 * A$18)&lt;1,"",SUM(I307 * A$18)),"")</f>
        <v/>
      </c>
    </row>
    <row r="308" customFormat="false" ht="12.8" hidden="false" customHeight="false" outlineLevel="0" collapsed="false">
      <c r="G308" s="4" t="str">
        <f aca="false">IFERROR(IF(SUM(I308 * A$18)&lt;1,"",SUM(I308 * A$18)),"")</f>
        <v/>
      </c>
    </row>
    <row r="309" customFormat="false" ht="12.8" hidden="false" customHeight="false" outlineLevel="0" collapsed="false">
      <c r="G309" s="4" t="str">
        <f aca="false">IFERROR(IF(SUM(I309 * A$18)&lt;1,"",SUM(I309 * A$18)),"")</f>
        <v/>
      </c>
    </row>
    <row r="310" customFormat="false" ht="12.8" hidden="false" customHeight="false" outlineLevel="0" collapsed="false">
      <c r="G310" s="4" t="str">
        <f aca="false">IFERROR(IF(SUM(I310 * A$18)&lt;1,"",SUM(I310 * A$18)),"")</f>
        <v/>
      </c>
    </row>
    <row r="311" customFormat="false" ht="12.8" hidden="false" customHeight="false" outlineLevel="0" collapsed="false">
      <c r="G311" s="4" t="str">
        <f aca="false">IFERROR(IF(SUM(I311 * A$18)&lt;1,"",SUM(I311 * A$18)),"")</f>
        <v/>
      </c>
    </row>
    <row r="312" customFormat="false" ht="12.8" hidden="false" customHeight="false" outlineLevel="0" collapsed="false">
      <c r="G312" s="4" t="str">
        <f aca="false">IFERROR(IF(SUM(I312 * A$18)&lt;1,"",SUM(I312 * A$18)),"")</f>
        <v/>
      </c>
    </row>
    <row r="313" customFormat="false" ht="12.8" hidden="false" customHeight="false" outlineLevel="0" collapsed="false">
      <c r="G313" s="4" t="str">
        <f aca="false">IFERROR(IF(SUM(I313 * A$18)&lt;1,"",SUM(I313 * A$18)),"")</f>
        <v/>
      </c>
    </row>
    <row r="314" customFormat="false" ht="12.8" hidden="false" customHeight="false" outlineLevel="0" collapsed="false">
      <c r="G314" s="4" t="str">
        <f aca="false">IFERROR(IF(SUM(I314 * A$18)&lt;1,"",SUM(I314 * A$18)),"")</f>
        <v/>
      </c>
    </row>
    <row r="315" customFormat="false" ht="12.8" hidden="false" customHeight="false" outlineLevel="0" collapsed="false">
      <c r="G315" s="4" t="str">
        <f aca="false">IFERROR(IF(SUM(I315 * A$18)&lt;1,"",SUM(I315 * A$18)),"")</f>
        <v/>
      </c>
    </row>
    <row r="316" customFormat="false" ht="12.8" hidden="false" customHeight="false" outlineLevel="0" collapsed="false">
      <c r="G316" s="4" t="str">
        <f aca="false">IFERROR(IF(SUM(I316 * A$18)&lt;1,"",SUM(I316 * A$18)),"")</f>
        <v/>
      </c>
    </row>
    <row r="317" customFormat="false" ht="12.8" hidden="false" customHeight="false" outlineLevel="0" collapsed="false">
      <c r="G317" s="4" t="str">
        <f aca="false">IFERROR(IF(SUM(I317 * A$18)&lt;1,"",SUM(I317 * A$18)),"")</f>
        <v/>
      </c>
    </row>
    <row r="318" customFormat="false" ht="12.8" hidden="false" customHeight="false" outlineLevel="0" collapsed="false">
      <c r="G318" s="4" t="str">
        <f aca="false">IFERROR(IF(SUM(I318 * A$18)&lt;1,"",SUM(I318 * A$18)),"")</f>
        <v/>
      </c>
    </row>
    <row r="319" customFormat="false" ht="12.8" hidden="false" customHeight="false" outlineLevel="0" collapsed="false">
      <c r="G319" s="4" t="str">
        <f aca="false">IFERROR(IF(SUM(I319 * A$18)&lt;1,"",SUM(I319 * A$18)),"")</f>
        <v/>
      </c>
    </row>
    <row r="320" customFormat="false" ht="12.8" hidden="false" customHeight="false" outlineLevel="0" collapsed="false">
      <c r="G320" s="4" t="str">
        <f aca="false">IFERROR(IF(SUM(I320 * A$18)&lt;1,"",SUM(I320 * A$18)),"")</f>
        <v/>
      </c>
    </row>
    <row r="321" customFormat="false" ht="12.8" hidden="false" customHeight="false" outlineLevel="0" collapsed="false">
      <c r="G321" s="4" t="str">
        <f aca="false">IFERROR(IF(SUM(I321 * A$18)&lt;1,"",SUM(I321 * A$18)),"")</f>
        <v/>
      </c>
    </row>
    <row r="322" customFormat="false" ht="12.8" hidden="false" customHeight="false" outlineLevel="0" collapsed="false">
      <c r="G322" s="4" t="str">
        <f aca="false">IFERROR(IF(SUM(I322 * A$18)&lt;1,"",SUM(I322 * A$18)),"")</f>
        <v/>
      </c>
    </row>
    <row r="323" customFormat="false" ht="12.8" hidden="false" customHeight="false" outlineLevel="0" collapsed="false">
      <c r="G323" s="4" t="str">
        <f aca="false">IFERROR(IF(SUM(I323 * A$18)&lt;1,"",SUM(I323 * A$18)),"")</f>
        <v/>
      </c>
    </row>
    <row r="324" customFormat="false" ht="12.8" hidden="false" customHeight="false" outlineLevel="0" collapsed="false">
      <c r="G324" s="4" t="str">
        <f aca="false">IFERROR(IF(SUM(I324 * A$18)&lt;1,"",SUM(I324 * A$18)),"")</f>
        <v/>
      </c>
    </row>
    <row r="325" customFormat="false" ht="12.8" hidden="false" customHeight="false" outlineLevel="0" collapsed="false">
      <c r="G325" s="4" t="str">
        <f aca="false">IFERROR(IF(SUM(I325 * A$18)&lt;1,"",SUM(I325 * A$18)),"")</f>
        <v/>
      </c>
    </row>
    <row r="326" customFormat="false" ht="12.8" hidden="false" customHeight="false" outlineLevel="0" collapsed="false">
      <c r="G326" s="4" t="str">
        <f aca="false">IFERROR(IF(SUM(I326 * A$18)&lt;1,"",SUM(I326 * A$18)),"")</f>
        <v/>
      </c>
    </row>
    <row r="327" customFormat="false" ht="12.8" hidden="false" customHeight="false" outlineLevel="0" collapsed="false">
      <c r="G327" s="4" t="str">
        <f aca="false">IFERROR(IF(SUM(I327 * A$18)&lt;1,"",SUM(I327 * A$18)),"")</f>
        <v/>
      </c>
    </row>
    <row r="328" customFormat="false" ht="12.8" hidden="false" customHeight="false" outlineLevel="0" collapsed="false">
      <c r="G328" s="4" t="str">
        <f aca="false">IFERROR(IF(SUM(I328 * A$18)&lt;1,"",SUM(I328 * A$18)),"")</f>
        <v/>
      </c>
    </row>
    <row r="329" customFormat="false" ht="12.8" hidden="false" customHeight="false" outlineLevel="0" collapsed="false">
      <c r="G329" s="4" t="str">
        <f aca="false">IFERROR(IF(SUM(I329 * A$18)&lt;1,"",SUM(I329 * A$18)),"")</f>
        <v/>
      </c>
    </row>
    <row r="330" customFormat="false" ht="12.8" hidden="false" customHeight="false" outlineLevel="0" collapsed="false">
      <c r="G330" s="4" t="str">
        <f aca="false">IFERROR(IF(SUM(I330 * A$18)&lt;1,"",SUM(I330 * A$18)),"")</f>
        <v/>
      </c>
    </row>
    <row r="331" customFormat="false" ht="12.8" hidden="false" customHeight="false" outlineLevel="0" collapsed="false">
      <c r="G331" s="4" t="str">
        <f aca="false">IFERROR(IF(SUM(I331 * A$18)&lt;1,"",SUM(I331 * A$18)),"")</f>
        <v/>
      </c>
    </row>
    <row r="332" customFormat="false" ht="12.8" hidden="false" customHeight="false" outlineLevel="0" collapsed="false">
      <c r="G332" s="4" t="str">
        <f aca="false">IFERROR(IF(SUM(I332 * A$18)&lt;1,"",SUM(I332 * A$18)),"")</f>
        <v/>
      </c>
    </row>
    <row r="333" customFormat="false" ht="12.8" hidden="false" customHeight="false" outlineLevel="0" collapsed="false">
      <c r="G333" s="4" t="str">
        <f aca="false">IFERROR(IF(SUM(I333 * A$18)&lt;1,"",SUM(I333 * A$18)),"")</f>
        <v/>
      </c>
    </row>
    <row r="334" customFormat="false" ht="12.8" hidden="false" customHeight="false" outlineLevel="0" collapsed="false">
      <c r="G334" s="4" t="str">
        <f aca="false">IFERROR(IF(SUM(I334 * A$18)&lt;1,"",SUM(I334 * A$18)),"")</f>
        <v/>
      </c>
    </row>
    <row r="335" customFormat="false" ht="12.8" hidden="false" customHeight="false" outlineLevel="0" collapsed="false">
      <c r="G335" s="4" t="str">
        <f aca="false">IFERROR(IF(SUM(I335 * A$18)&lt;1,"",SUM(I335 * A$18)),"")</f>
        <v/>
      </c>
    </row>
    <row r="336" customFormat="false" ht="12.8" hidden="false" customHeight="false" outlineLevel="0" collapsed="false">
      <c r="G336" s="4" t="str">
        <f aca="false">IFERROR(IF(SUM(I336 * A$18)&lt;1,"",SUM(I336 * A$18)),"")</f>
        <v/>
      </c>
    </row>
    <row r="337" customFormat="false" ht="12.8" hidden="false" customHeight="false" outlineLevel="0" collapsed="false">
      <c r="G337" s="4" t="str">
        <f aca="false">IFERROR(IF(SUM(I337 * A$18)&lt;1,"",SUM(I337 * A$18)),"")</f>
        <v/>
      </c>
    </row>
    <row r="338" customFormat="false" ht="12.8" hidden="false" customHeight="false" outlineLevel="0" collapsed="false">
      <c r="G338" s="4" t="str">
        <f aca="false">IFERROR(IF(SUM(I338 * A$18)&lt;1,"",SUM(I338 * A$18)),"")</f>
        <v/>
      </c>
    </row>
    <row r="339" customFormat="false" ht="12.8" hidden="false" customHeight="false" outlineLevel="0" collapsed="false">
      <c r="G339" s="4" t="str">
        <f aca="false">IFERROR(IF(SUM(I339 * A$18)&lt;1,"",SUM(I339 * A$18)),"")</f>
        <v/>
      </c>
    </row>
    <row r="340" customFormat="false" ht="12.8" hidden="false" customHeight="false" outlineLevel="0" collapsed="false">
      <c r="G340" s="4" t="str">
        <f aca="false">IFERROR(IF(SUM(I340 * A$18)&lt;1,"",SUM(I340 * A$18)),"")</f>
        <v/>
      </c>
    </row>
    <row r="341" customFormat="false" ht="12.8" hidden="false" customHeight="false" outlineLevel="0" collapsed="false">
      <c r="G341" s="4" t="str">
        <f aca="false">IFERROR(IF(SUM(I341 * A$18)&lt;1,"",SUM(I341 * A$18)),"")</f>
        <v/>
      </c>
    </row>
    <row r="342" customFormat="false" ht="12.8" hidden="false" customHeight="false" outlineLevel="0" collapsed="false">
      <c r="G342" s="4" t="str">
        <f aca="false">IFERROR(IF(SUM(I342 * A$18)&lt;1,"",SUM(I342 * A$18)),"")</f>
        <v/>
      </c>
    </row>
    <row r="343" customFormat="false" ht="12.8" hidden="false" customHeight="false" outlineLevel="0" collapsed="false">
      <c r="G343" s="4" t="str">
        <f aca="false">IFERROR(IF(SUM(I343 * A$18)&lt;1,"",SUM(I343 * A$18)),"")</f>
        <v/>
      </c>
    </row>
    <row r="344" customFormat="false" ht="12.8" hidden="false" customHeight="false" outlineLevel="0" collapsed="false">
      <c r="G344" s="4" t="str">
        <f aca="false">IFERROR(IF(SUM(I344 * A$18)&lt;1,"",SUM(I344 * A$18)),"")</f>
        <v/>
      </c>
    </row>
    <row r="345" customFormat="false" ht="12.8" hidden="false" customHeight="false" outlineLevel="0" collapsed="false">
      <c r="G345" s="4" t="str">
        <f aca="false">IFERROR(IF(SUM(I345 * A$18)&lt;1,"",SUM(I345 * A$18)),"")</f>
        <v/>
      </c>
    </row>
    <row r="346" customFormat="false" ht="12.8" hidden="false" customHeight="false" outlineLevel="0" collapsed="false">
      <c r="G346" s="4" t="str">
        <f aca="false">IFERROR(IF(SUM(I346 * A$18)&lt;1,"",SUM(I346 * A$18)),"")</f>
        <v/>
      </c>
    </row>
    <row r="347" customFormat="false" ht="12.8" hidden="false" customHeight="false" outlineLevel="0" collapsed="false">
      <c r="G347" s="4" t="str">
        <f aca="false">IFERROR(IF(SUM(I347 * A$18)&lt;1,"",SUM(I347 * A$18)),"")</f>
        <v/>
      </c>
    </row>
    <row r="348" customFormat="false" ht="12.8" hidden="false" customHeight="false" outlineLevel="0" collapsed="false">
      <c r="G348" s="4" t="str">
        <f aca="false">IFERROR(IF(SUM(I348 * A$18)&lt;1,"",SUM(I348 * A$18)),"")</f>
        <v/>
      </c>
    </row>
    <row r="349" customFormat="false" ht="12.8" hidden="false" customHeight="false" outlineLevel="0" collapsed="false">
      <c r="G349" s="4" t="str">
        <f aca="false">IFERROR(IF(SUM(I349 * A$18)&lt;1,"",SUM(I349 * A$18)),"")</f>
        <v/>
      </c>
    </row>
  </sheetData>
  <mergeCells count="41">
    <mergeCell ref="A1:F1"/>
    <mergeCell ref="A2:F2"/>
    <mergeCell ref="A3:B3"/>
    <mergeCell ref="D3:F5"/>
    <mergeCell ref="A4:B4"/>
    <mergeCell ref="A5:B5"/>
    <mergeCell ref="A6:B6"/>
    <mergeCell ref="A7:B7"/>
    <mergeCell ref="A8:F8"/>
    <mergeCell ref="A9:F9"/>
    <mergeCell ref="A10:F10"/>
    <mergeCell ref="C11:D11"/>
    <mergeCell ref="E11:F19"/>
    <mergeCell ref="C12:D12"/>
    <mergeCell ref="C13:D13"/>
    <mergeCell ref="C14:D14"/>
    <mergeCell ref="C15:D15"/>
    <mergeCell ref="C16:D16"/>
    <mergeCell ref="C17:D17"/>
    <mergeCell ref="C18:D18"/>
    <mergeCell ref="C19:D19"/>
    <mergeCell ref="A20:B20"/>
    <mergeCell ref="C20:D20"/>
    <mergeCell ref="E20:F20"/>
    <mergeCell ref="A21:B21"/>
    <mergeCell ref="C21:D21"/>
    <mergeCell ref="E21:F21"/>
    <mergeCell ref="A22:C22"/>
    <mergeCell ref="D22:F22"/>
    <mergeCell ref="A23:C23"/>
    <mergeCell ref="D23:F23"/>
    <mergeCell ref="B25:E25"/>
    <mergeCell ref="A26:B26"/>
    <mergeCell ref="E26:F26"/>
    <mergeCell ref="A27:B27"/>
    <mergeCell ref="E27:F27"/>
    <mergeCell ref="A28:B28"/>
    <mergeCell ref="E28:F28"/>
    <mergeCell ref="A29:B29"/>
    <mergeCell ref="E29:F29"/>
    <mergeCell ref="A30:F30"/>
  </mergeCells>
  <conditionalFormatting sqref="E21">
    <cfRule type="cellIs" priority="2" operator="lessThan" aboveAverage="0" equalAverage="0" bottom="0" percent="0" rank="0" text="" dxfId="0">
      <formula>'Quick Check'!$A$14</formula>
    </cfRule>
  </conditionalFormatting>
  <printOptions headings="false" gridLines="false" gridLinesSet="true" horizontalCentered="false" verticalCentered="false"/>
  <pageMargins left="0.7875" right="0.7875" top="1.02638888888889" bottom="1.02638888888889"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G892"/>
  <sheetViews>
    <sheetView showFormulas="false" showGridLines="true" showRowColHeaders="true" showZeros="true" rightToLeft="false" tabSelected="true" showOutlineSymbols="true" defaultGridColor="true" view="normal" topLeftCell="A1" colorId="64" zoomScale="85" zoomScaleNormal="85" zoomScalePageLayoutView="100" workbookViewId="0">
      <selection pane="topLeft" activeCell="O42" activeCellId="0" sqref="O42"/>
    </sheetView>
  </sheetViews>
  <sheetFormatPr defaultColWidth="12.625" defaultRowHeight="12.8" customHeight="true" zeroHeight="false" outlineLevelRow="0" outlineLevelCol="0"/>
  <cols>
    <col collapsed="false" customWidth="true" hidden="false" outlineLevel="0" max="1" min="1" style="68" width="4.61"/>
    <col collapsed="false" customWidth="true" hidden="false" outlineLevel="0" max="2" min="2" style="68" width="10.97"/>
    <col collapsed="false" customWidth="true" hidden="false" outlineLevel="0" max="3" min="3" style="68" width="13.35"/>
    <col collapsed="false" customWidth="true" hidden="false" outlineLevel="0" max="4" min="4" style="68" width="13.63"/>
    <col collapsed="false" customWidth="true" hidden="false" outlineLevel="0" max="5" min="5" style="68" width="9.87"/>
    <col collapsed="false" customWidth="true" hidden="false" outlineLevel="0" max="6" min="6" style="68" width="11.82"/>
    <col collapsed="false" customWidth="true" hidden="false" outlineLevel="0" max="7" min="7" style="68" width="12.79"/>
    <col collapsed="false" customWidth="true" hidden="false" outlineLevel="0" max="8" min="8" style="68" width="14.06"/>
    <col collapsed="false" customWidth="true" hidden="false" outlineLevel="0" max="9" min="9" style="69" width="4.02"/>
    <col collapsed="false" customWidth="true" hidden="false" outlineLevel="0" max="10" min="10" style="69" width="16.98"/>
    <col collapsed="false" customWidth="true" hidden="false" outlineLevel="0" max="11" min="11" style="69" width="11.7"/>
    <col collapsed="false" customWidth="true" hidden="false" outlineLevel="0" max="12" min="12" style="69" width="18.49"/>
    <col collapsed="false" customWidth="true" hidden="false" outlineLevel="0" max="13" min="13" style="68" width="32.36"/>
    <col collapsed="false" customWidth="true" hidden="false" outlineLevel="0" max="14" min="14" style="68" width="15.44"/>
    <col collapsed="false" customWidth="true" hidden="false" outlineLevel="0" max="15" min="15" style="68" width="47"/>
    <col collapsed="false" customWidth="true" hidden="true" outlineLevel="0" max="16" min="16" style="68" width="23.23"/>
    <col collapsed="false" customWidth="true" hidden="false" outlineLevel="0" max="17" min="17" style="68" width="20.21"/>
    <col collapsed="false" customWidth="true" hidden="true" outlineLevel="0" max="18" min="18" style="68" width="17.52"/>
    <col collapsed="false" customWidth="true" hidden="false" outlineLevel="0" max="19" min="19" style="70" width="50.74"/>
    <col collapsed="false" customWidth="true" hidden="false" outlineLevel="0" max="20" min="20" style="68" width="62.03"/>
    <col collapsed="false" customWidth="true" hidden="false" outlineLevel="0" max="21" min="21" style="68" width="11.12"/>
    <col collapsed="false" customWidth="true" hidden="false" outlineLevel="0" max="22" min="22" style="68" width="16.39"/>
    <col collapsed="false" customWidth="false" hidden="false" outlineLevel="0" max="23" min="23" style="68" width="12.62"/>
    <col collapsed="false" customWidth="true" hidden="false" outlineLevel="0" max="24" min="24" style="68" width="21.14"/>
    <col collapsed="false" customWidth="true" hidden="false" outlineLevel="0" max="25" min="25" style="68" width="35.84"/>
    <col collapsed="false" customWidth="true" hidden="false" outlineLevel="0" max="26" min="26" style="68" width="21.6"/>
    <col collapsed="false" customWidth="true" hidden="false" outlineLevel="0" max="27" min="27" style="68" width="28.23"/>
    <col collapsed="false" customWidth="false" hidden="false" outlineLevel="0" max="257" min="28" style="68" width="12.62"/>
    <col collapsed="false" customWidth="false" hidden="false" outlineLevel="0" max="16384" min="258" style="71" width="12.62"/>
  </cols>
  <sheetData>
    <row r="1" customFormat="false" ht="30" hidden="false" customHeight="true" outlineLevel="0" collapsed="false">
      <c r="A1" s="72" t="str">
        <f aca="true">IF(TODAY() &lt; Y5, "Retirement Calculator", "***Update SSN, Fed and State income levels to the right. Then set new update date***")</f>
        <v>Retirement Calculator</v>
      </c>
      <c r="B1" s="72"/>
      <c r="C1" s="72"/>
      <c r="D1" s="72"/>
      <c r="E1" s="72"/>
      <c r="F1" s="72"/>
      <c r="G1" s="72"/>
      <c r="H1" s="72"/>
      <c r="I1" s="72"/>
      <c r="J1" s="72"/>
      <c r="K1" s="72"/>
      <c r="L1" s="72"/>
      <c r="M1" s="72"/>
      <c r="N1" s="72" t="n">
        <f aca="true">YEAR(K11) - (YEAR(TODAY()) - D17)</f>
        <v>64.8499999999999</v>
      </c>
      <c r="O1" s="72"/>
      <c r="P1" s="68" t="n">
        <f aca="true">DATEDIF(TODAY(), K11, "M") / 12 + D17</f>
        <v>65.2666666666667</v>
      </c>
      <c r="Q1" s="73" t="s">
        <v>37</v>
      </c>
      <c r="R1" s="68" t="s">
        <v>38</v>
      </c>
      <c r="T1" s="74" t="s">
        <v>39</v>
      </c>
      <c r="U1" s="75" t="s">
        <v>40</v>
      </c>
      <c r="V1" s="76" t="s">
        <v>40</v>
      </c>
      <c r="W1" s="76" t="s">
        <v>41</v>
      </c>
      <c r="X1" s="77" t="s">
        <v>8</v>
      </c>
      <c r="Y1" s="78" t="str">
        <f aca="true">IF(TODAY() &lt;= Y5, "Update not needed", "Update date to " &amp; TEXT(EDATE(Y5, 12), "m/d/yy") &amp; " after updating formulas")</f>
        <v>Update not needed</v>
      </c>
      <c r="Z1" s="79" t="n">
        <f aca="false">IFERROR(   IF(T2="YES",     (D20*12) + (N5*N6*12) + N39 + N40 + N41 + 0.001 + SUM(Q35:Q47),     (D5*D8) + (N5*N6*12) + N39 + N40 + N41 + SUM(Q35:Q47) + 0.001   ),   0 )</f>
        <v>206.551</v>
      </c>
      <c r="AA1" s="80" t="n">
        <f aca="false">D10*12 + N5*12 + N39 + N40 + N41 + SUM(Q35:Q47)</f>
        <v>180</v>
      </c>
      <c r="AC1" s="79" t="s">
        <v>8</v>
      </c>
      <c r="AE1" s="81"/>
      <c r="AF1" s="81"/>
      <c r="AG1" s="81"/>
    </row>
    <row r="2" customFormat="false" ht="12.75" hidden="false" customHeight="true" outlineLevel="0" collapsed="false">
      <c r="A2" s="82" t="s">
        <v>42</v>
      </c>
      <c r="B2" s="82" t="s">
        <v>43</v>
      </c>
      <c r="C2" s="82"/>
      <c r="D2" s="82"/>
      <c r="E2" s="82"/>
      <c r="F2" s="82"/>
      <c r="G2" s="82"/>
      <c r="H2" s="82"/>
      <c r="I2" s="82"/>
      <c r="J2" s="82" t="s">
        <v>8</v>
      </c>
      <c r="K2" s="82"/>
      <c r="L2" s="82"/>
      <c r="M2" s="82"/>
      <c r="N2" s="82" t="n">
        <f aca="false">H6+H9</f>
        <v>5049.02898836743</v>
      </c>
      <c r="O2" s="82"/>
      <c r="P2" s="83" t="n">
        <f aca="false">H10/H11</f>
        <v>0</v>
      </c>
      <c r="Q2" s="73"/>
      <c r="R2" s="84" t="s">
        <v>44</v>
      </c>
      <c r="S2" s="85" t="n">
        <f aca="false">(1+rate/cp)^(cp/ppy)-1</f>
        <v>0.00416666666666665</v>
      </c>
      <c r="T2" s="86" t="s">
        <v>45</v>
      </c>
      <c r="U2" s="75"/>
      <c r="V2" s="87" t="n">
        <v>0.1</v>
      </c>
      <c r="W2" s="88" t="s">
        <v>46</v>
      </c>
      <c r="X2" s="88" t="n">
        <v>12399</v>
      </c>
      <c r="Y2" s="78"/>
      <c r="AA2" s="89" t="s">
        <v>8</v>
      </c>
      <c r="AE2" s="81"/>
      <c r="AF2" s="81"/>
      <c r="AG2" s="81"/>
    </row>
    <row r="3" customFormat="false" ht="20.5" hidden="false" customHeight="true" outlineLevel="0" collapsed="false">
      <c r="A3" s="82"/>
      <c r="B3" s="82"/>
      <c r="C3" s="82"/>
      <c r="D3" s="82"/>
      <c r="E3" s="82"/>
      <c r="F3" s="82"/>
      <c r="G3" s="82"/>
      <c r="H3" s="82"/>
      <c r="I3" s="82" t="s">
        <v>8</v>
      </c>
      <c r="J3" s="82"/>
      <c r="K3" s="82"/>
      <c r="L3" s="82"/>
      <c r="M3" s="82"/>
      <c r="N3" s="82"/>
      <c r="O3" s="82"/>
      <c r="P3" s="90" t="s">
        <v>47</v>
      </c>
      <c r="Q3" s="71"/>
      <c r="R3" s="84" t="s">
        <v>48</v>
      </c>
      <c r="S3" s="70" t="n">
        <f aca="false" t="array" ref="S3:S3">INDEX({26;24;12;6;4;2;1},MATCH(D9,{"Bi-Weekly","Semi-Monthly","Monthly","Bi-Monthly","Quarterly","Semi-Annually","Annually"},0))</f>
        <v>12</v>
      </c>
      <c r="T3" s="91"/>
      <c r="U3" s="75"/>
      <c r="V3" s="87" t="n">
        <v>0.12</v>
      </c>
      <c r="W3" s="88" t="n">
        <v>12400</v>
      </c>
      <c r="X3" s="88" t="n">
        <v>50399</v>
      </c>
      <c r="Y3" s="78"/>
      <c r="AA3" s="68" t="s">
        <v>8</v>
      </c>
      <c r="AE3" s="81"/>
      <c r="AF3" s="81"/>
      <c r="AG3" s="81"/>
    </row>
    <row r="4" customFormat="false" ht="27.2" hidden="false" customHeight="true" outlineLevel="0" collapsed="false">
      <c r="A4" s="92" t="s">
        <v>49</v>
      </c>
      <c r="B4" s="92"/>
      <c r="C4" s="92"/>
      <c r="D4" s="92"/>
      <c r="E4" s="93" t="s">
        <v>50</v>
      </c>
      <c r="F4" s="93"/>
      <c r="G4" s="93"/>
      <c r="H4" s="93"/>
      <c r="I4" s="94" t="s">
        <v>51</v>
      </c>
      <c r="J4" s="94"/>
      <c r="K4" s="94"/>
      <c r="L4" s="94"/>
      <c r="M4" s="95" t="s">
        <v>52</v>
      </c>
      <c r="N4" s="95"/>
      <c r="O4" s="95"/>
      <c r="P4" s="71" t="n">
        <f aca="false">IF((D6-D5)/H11&lt;0,0,(D6-D5)/H11)</f>
        <v>0</v>
      </c>
      <c r="Q4" s="71"/>
      <c r="R4" s="84" t="s">
        <v>53</v>
      </c>
      <c r="S4" s="70" t="n">
        <f aca="false">IF(P3="Beginning of Period",1,0)</f>
        <v>0</v>
      </c>
      <c r="T4" s="96" t="s">
        <v>54</v>
      </c>
      <c r="U4" s="75"/>
      <c r="V4" s="87" t="n">
        <v>0.22</v>
      </c>
      <c r="W4" s="88" t="n">
        <v>50400</v>
      </c>
      <c r="X4" s="88" t="n">
        <v>105699</v>
      </c>
      <c r="Y4" s="78" t="s">
        <v>8</v>
      </c>
    </row>
    <row r="5" customFormat="false" ht="15.75" hidden="false" customHeight="true" outlineLevel="0" collapsed="false">
      <c r="A5" s="97"/>
      <c r="B5" s="98"/>
      <c r="C5" s="99" t="s">
        <v>55</v>
      </c>
      <c r="D5" s="100" t="n">
        <v>5000</v>
      </c>
      <c r="E5" s="101" t="s">
        <v>56</v>
      </c>
      <c r="F5" s="101"/>
      <c r="G5" s="101"/>
      <c r="H5" s="102" t="n">
        <v>0</v>
      </c>
      <c r="I5" s="103" t="str">
        <f aca="false">IF($K$11="","", IF($K$11 &lt; $D$7, "Date below must be greater than the date in D7," &amp; CHAR(10) &amp; "if not using this section simply put " &amp; CHAR(10) &amp; " the date out far enough to not matter " &amp; CHAR(10) &amp; " " &amp; CHAR(10) &amp; "", "+/- Add/Sub Withdrawal**" &amp; CHAR(10) &amp; "Example: You start collecting SS..." &amp; CHAR(10) &amp; "Add negative amount and date to start reducing overall withdrawals." &amp; CHAR(10) &amp; "Add a positive amount if you intend to withdraw more." ))</f>
        <v>+/- Add/Sub Withdrawal**
Example: You start collecting SS...
Add negative amount and date to start reducing overall withdrawals.
Add a positive amount if you intend to withdraw more.</v>
      </c>
      <c r="J5" s="103"/>
      <c r="K5" s="103"/>
      <c r="L5" s="103"/>
      <c r="M5" s="104" t="s">
        <v>57</v>
      </c>
      <c r="N5" s="105" t="n">
        <v>0</v>
      </c>
      <c r="O5" s="106" t="s">
        <v>58</v>
      </c>
      <c r="P5" s="107" t="n">
        <f aca="false">FV(D8/12, H11, -H5, -D5, 0)</f>
        <v>5050.14591430128</v>
      </c>
      <c r="Q5" s="71"/>
      <c r="R5" s="84" t="s">
        <v>59</v>
      </c>
      <c r="S5" s="85" t="n">
        <f aca="false">(1+inflation/cp)^(cp/ppy)-1</f>
        <v>0.00166666666666671</v>
      </c>
      <c r="T5" s="96"/>
      <c r="U5" s="75"/>
      <c r="V5" s="87" t="n">
        <v>0.24</v>
      </c>
      <c r="W5" s="88" t="n">
        <v>105700</v>
      </c>
      <c r="X5" s="88" t="n">
        <v>201774</v>
      </c>
      <c r="Y5" s="108" t="n">
        <v>46388</v>
      </c>
      <c r="AA5" s="109"/>
    </row>
    <row r="6" customFormat="false" ht="15.75" hidden="false" customHeight="true" outlineLevel="0" collapsed="false">
      <c r="A6" s="97"/>
      <c r="B6" s="98"/>
      <c r="C6" s="99" t="s">
        <v>60</v>
      </c>
      <c r="D6" s="100" t="n">
        <v>5000</v>
      </c>
      <c r="E6" s="110" t="s">
        <v>61</v>
      </c>
      <c r="F6" s="110"/>
      <c r="G6" s="110"/>
      <c r="H6" s="111" t="n">
        <f aca="false">D5</f>
        <v>5000</v>
      </c>
      <c r="I6" s="103"/>
      <c r="J6" s="103"/>
      <c r="K6" s="103"/>
      <c r="L6" s="103"/>
      <c r="M6" s="104" t="s">
        <v>62</v>
      </c>
      <c r="N6" s="112" t="str">
        <f aca="false">N47</f>
        <v>0%</v>
      </c>
      <c r="O6" s="113" t="s">
        <v>63</v>
      </c>
      <c r="P6" s="114" t="n">
        <f aca="false">PMT(D8/12, H11, D5, -H7, 0)</f>
        <v>-20.8333333333333</v>
      </c>
      <c r="Q6" s="71"/>
      <c r="T6" s="96"/>
      <c r="U6" s="75"/>
      <c r="V6" s="87" t="n">
        <v>0.32</v>
      </c>
      <c r="W6" s="88" t="n">
        <v>201775</v>
      </c>
      <c r="X6" s="88" t="n">
        <v>256224</v>
      </c>
      <c r="AA6" s="109"/>
    </row>
    <row r="7" customFormat="false" ht="15.75" hidden="false" customHeight="true" outlineLevel="0" collapsed="false">
      <c r="A7" s="115"/>
      <c r="B7" s="98"/>
      <c r="C7" s="99" t="s">
        <v>64</v>
      </c>
      <c r="D7" s="116" t="n">
        <v>46295</v>
      </c>
      <c r="E7" s="117" t="s">
        <v>65</v>
      </c>
      <c r="F7" s="117"/>
      <c r="G7" s="117"/>
      <c r="H7" s="118" t="n">
        <f aca="false">D6</f>
        <v>5000</v>
      </c>
      <c r="I7" s="103"/>
      <c r="J7" s="103"/>
      <c r="K7" s="103"/>
      <c r="L7" s="103"/>
      <c r="M7" s="104" t="s">
        <v>66</v>
      </c>
      <c r="N7" s="119" t="n">
        <f aca="false">IFERROR( N5*N6*N8,0)</f>
        <v>0</v>
      </c>
      <c r="O7" s="120" t="s">
        <v>67</v>
      </c>
      <c r="P7" s="107" t="n">
        <f aca="false">PMT(0%/12, H11, D5, -H7, 0)</f>
        <v>-0</v>
      </c>
      <c r="Q7" s="71"/>
      <c r="T7" s="96"/>
      <c r="U7" s="75"/>
      <c r="V7" s="87" t="n">
        <v>0.35</v>
      </c>
      <c r="W7" s="88" t="n">
        <v>256225</v>
      </c>
      <c r="X7" s="88" t="n">
        <v>640599</v>
      </c>
      <c r="Y7" s="1"/>
      <c r="Z7" s="79" t="n">
        <f aca="false">IFERROR(   IF(T2="YES",     ((D10*(AA7+AA8))+D10)*12 + (N5*12) + N39 + N40 + N41 + SUM(Q35:Q47),     ((D10*(AA7+AA8))+D10)*12 + (N5*12) + N39 + N40 + N41 + SUM(Q35:Q47)   ),   0 )</f>
        <v>206.55</v>
      </c>
      <c r="AA7" s="121" t="n">
        <f aca="false">IF(Z1=0,"", IF(N37="Single",   (MIN(Z1,X2)*V2 +    MAX(0,MIN(Z1,X3)-X2)*V3 +    MAX(0,MIN(Z1,X4)-X3)*V4 +    MAX(0,MIN(Z1,X5)-X4)*V5 +    MAX(0,MIN(Z1,X6)-X5)*V6 +    MAX(0,MIN(Z1,X7)-X6)*V7 +    MAX(0,Z1-X7)*V8) / Z1,    (MIN(Z1,X11)*V11 +    MAX(0,MIN(Z1,X12)-X11)*V12 +    MAX(0,MIN(Z1,X13)-X12)*V13 +    MAX(0,MIN(Z1,X14)-X13)*V14 +    MAX(0,MIN(Z1,X15)-X14)*V15 +    MAX(0,MIN(Z1,X16)-X15)*V16 +    MAX(0,Z1-X16)*V17) / Z1 ))</f>
        <v>0.1</v>
      </c>
      <c r="AB7" s="79"/>
    </row>
    <row r="8" customFormat="false" ht="15.75" hidden="false" customHeight="true" outlineLevel="0" collapsed="false">
      <c r="A8" s="115"/>
      <c r="B8" s="98"/>
      <c r="C8" s="99" t="s">
        <v>68</v>
      </c>
      <c r="D8" s="122" t="n">
        <v>0.05</v>
      </c>
      <c r="E8" s="117" t="s">
        <v>69</v>
      </c>
      <c r="F8" s="117"/>
      <c r="G8" s="117"/>
      <c r="H8" s="111" t="n">
        <f aca="false">IF(H7-H6&lt;0,0,H7-H6)</f>
        <v>0</v>
      </c>
      <c r="I8" s="103"/>
      <c r="J8" s="103"/>
      <c r="K8" s="103"/>
      <c r="L8" s="103"/>
      <c r="M8" s="104" t="s">
        <v>70</v>
      </c>
      <c r="N8" s="112" t="n">
        <f aca="false">IFERROR( IF(Q8="no",D14+0.0001,(D14+D15)+0.0001),0)</f>
        <v>0.1001</v>
      </c>
      <c r="O8" s="123" t="s">
        <v>71</v>
      </c>
      <c r="P8" s="124"/>
      <c r="Q8" s="125" t="s">
        <v>72</v>
      </c>
      <c r="T8" s="96"/>
      <c r="U8" s="75"/>
      <c r="V8" s="87" t="n">
        <v>0.37</v>
      </c>
      <c r="W8" s="88" t="n">
        <v>640600</v>
      </c>
      <c r="X8" s="126" t="n">
        <v>99999999</v>
      </c>
      <c r="Y8" s="1"/>
      <c r="AA8" s="121" t="n">
        <f aca="false">IF(Z1=0,"", IF(N37="Single",   (MIN(Z1,X19)*V19 +    MAX(0,MIN(Z1,X20)-X19)*V20 +    MAX(0,MIN(Z1,X21)-X20)*V21 +    MAX(0,Z1-X21)*V22) / Z1,    (MIN(Z1,X25)*V25 +    MAX(0,MIN(Z1,X26)-X25)*V26 +    MAX(0,MIN(Z1,X27)-X26)*V27 +    MAX(0,Z1-X27)*V28) / Z1 ))</f>
        <v>0.0475</v>
      </c>
      <c r="AB8" s="79"/>
    </row>
    <row r="9" customFormat="false" ht="15.75" hidden="false" customHeight="true" outlineLevel="0" collapsed="false">
      <c r="A9" s="115"/>
      <c r="B9" s="98"/>
      <c r="C9" s="99" t="s">
        <v>73</v>
      </c>
      <c r="D9" s="127" t="s">
        <v>32</v>
      </c>
      <c r="E9" s="128" t="s">
        <v>74</v>
      </c>
      <c r="F9" s="117" t="s">
        <v>75</v>
      </c>
      <c r="G9" s="117"/>
      <c r="H9" s="111" t="n">
        <f aca="false">SUM(D5*(1+D8/1)^(1*D18))-D5</f>
        <v>49.0289883674268</v>
      </c>
      <c r="I9" s="103"/>
      <c r="J9" s="103"/>
      <c r="K9" s="103"/>
      <c r="L9" s="103"/>
      <c r="M9" s="129" t="s">
        <v>76</v>
      </c>
      <c r="N9" s="130" t="n">
        <v>0</v>
      </c>
      <c r="O9" s="131" t="s">
        <v>77</v>
      </c>
      <c r="P9" s="71" t="n">
        <f aca="false">N5*(1-N8)</f>
        <v>0</v>
      </c>
      <c r="Q9" s="71"/>
      <c r="T9" s="96"/>
      <c r="U9" s="75" t="s">
        <v>8</v>
      </c>
      <c r="V9" s="76"/>
      <c r="W9" s="76"/>
      <c r="X9" s="76"/>
      <c r="AA9" s="109"/>
      <c r="AB9" s="79"/>
    </row>
    <row r="10" customFormat="false" ht="22.35" hidden="false" customHeight="true" outlineLevel="0" collapsed="false">
      <c r="A10" s="132"/>
      <c r="B10" s="133"/>
      <c r="C10" s="133" t="s">
        <v>78</v>
      </c>
      <c r="D10" s="134" t="n">
        <v>15</v>
      </c>
      <c r="E10" s="135" t="str">
        <f aca="false">"← " &amp; TEXT(D10*12/D5*100, "0.00") &amp; "%"</f>
        <v>← 3.60%</v>
      </c>
      <c r="F10" s="117" t="s">
        <v>79</v>
      </c>
      <c r="G10" s="117"/>
      <c r="H10" s="111" t="n">
        <f aca="false">IF(OR(H7-H6&lt;0,H8-H9&lt;0),0,H8-H9)</f>
        <v>0</v>
      </c>
      <c r="I10" s="103"/>
      <c r="J10" s="103"/>
      <c r="K10" s="103"/>
      <c r="L10" s="103"/>
      <c r="M10" s="136" t="s">
        <v>80</v>
      </c>
      <c r="N10" s="137" t="n">
        <v>0</v>
      </c>
      <c r="O10" s="131"/>
      <c r="P10" s="71"/>
      <c r="Q10" s="71"/>
      <c r="R10" s="71"/>
      <c r="T10" s="96"/>
      <c r="U10" s="75"/>
      <c r="V10" s="76"/>
      <c r="W10" s="76" t="s">
        <v>81</v>
      </c>
      <c r="X10" s="76"/>
      <c r="Z10" s="79" t="s">
        <v>8</v>
      </c>
      <c r="AA10" s="109"/>
    </row>
    <row r="11" customFormat="false" ht="23.85" hidden="false" customHeight="true" outlineLevel="0" collapsed="false">
      <c r="A11" s="138" t="s">
        <v>82</v>
      </c>
      <c r="B11" s="138"/>
      <c r="C11" s="138"/>
      <c r="D11" s="139" t="n">
        <f aca="false">IFERROR(IF(D9="Annually", 0 , D10*(1+D14+D15)),0)</f>
        <v>17.2125</v>
      </c>
      <c r="E11" s="135" t="str">
        <f aca="false">"← " &amp; TEXT(D11*12/D5*100, "0.00") &amp; "%"</f>
        <v>← 4.13%</v>
      </c>
      <c r="F11" s="117" t="s">
        <v>83</v>
      </c>
      <c r="G11" s="117"/>
      <c r="H11" s="140" t="n">
        <f aca="false">D18*12</f>
        <v>2.4</v>
      </c>
      <c r="I11" s="141" t="s">
        <v>84</v>
      </c>
      <c r="J11" s="141"/>
      <c r="K11" s="142" t="n">
        <v>47847</v>
      </c>
      <c r="L11" s="143" t="s">
        <v>85</v>
      </c>
      <c r="M11" s="136" t="s">
        <v>86</v>
      </c>
      <c r="N11" s="137" t="n">
        <v>0</v>
      </c>
      <c r="O11" s="131"/>
      <c r="P11" s="144" t="n">
        <f aca="false">H6+H9</f>
        <v>5049.02898836743</v>
      </c>
      <c r="Q11" s="71"/>
      <c r="T11" s="96"/>
      <c r="U11" s="75"/>
      <c r="V11" s="87" t="n">
        <v>0.1</v>
      </c>
      <c r="W11" s="88" t="n">
        <v>0</v>
      </c>
      <c r="X11" s="88" t="n">
        <v>24799</v>
      </c>
      <c r="AA11" s="109"/>
      <c r="AB11" s="79" t="n">
        <f aca="false">X11*V11</f>
        <v>2479.9</v>
      </c>
    </row>
    <row r="12" customFormat="false" ht="29.85" hidden="false" customHeight="true" outlineLevel="0" collapsed="false">
      <c r="A12" s="138" t="s">
        <v>87</v>
      </c>
      <c r="B12" s="138"/>
      <c r="C12" s="138"/>
      <c r="D12" s="145" t="n">
        <f aca="false">IFERROR( IF(D9="Annually",  D10 * (1 + D14 + D15),D11*12) , 0 )</f>
        <v>206.55</v>
      </c>
      <c r="E12" s="146" t="s">
        <v>88</v>
      </c>
      <c r="F12" s="147" t="s">
        <v>89</v>
      </c>
      <c r="G12" s="147"/>
      <c r="H12" s="148" t="n">
        <f aca="false">IF(PMT(D8/12, H11, 0, -H10)-H5&lt;0,0,PMT(D8/12, H11, 0, -H10)-H5)</f>
        <v>-0</v>
      </c>
      <c r="I12" s="149" t="s">
        <v>90</v>
      </c>
      <c r="J12" s="149"/>
      <c r="K12" s="150" t="n">
        <v>1</v>
      </c>
      <c r="L12" s="151" t="n">
        <f aca="false">IFERROR( IF(D9="Annually",  (D10+K12 ) * (1 + D14 + D15),(IFERROR(IF(D9="Annually", 0 , (D10+K12 )*(1+D14+D15)),0))*12) , 0 )</f>
        <v>220.32</v>
      </c>
      <c r="M12" s="136" t="s">
        <v>91</v>
      </c>
      <c r="N12" s="137" t="n">
        <v>0</v>
      </c>
      <c r="O12" s="131"/>
      <c r="P12" s="144" t="n">
        <f aca="false">IF(PMT(D8/12, H11, 0, -H10)-H5&lt;0,0,PMT(D8/12, H11, 0, -H10))</f>
        <v>-0</v>
      </c>
      <c r="Q12" s="152" t="s">
        <v>8</v>
      </c>
      <c r="T12" s="96"/>
      <c r="U12" s="75"/>
      <c r="V12" s="87" t="n">
        <v>0.12</v>
      </c>
      <c r="W12" s="88" t="n">
        <v>24800</v>
      </c>
      <c r="X12" s="88" t="n">
        <v>100799</v>
      </c>
      <c r="AA12" s="153"/>
      <c r="AB12" s="79" t="n">
        <f aca="false">X12*V12</f>
        <v>12095.88</v>
      </c>
    </row>
    <row r="13" customFormat="false" ht="26.1" hidden="false" customHeight="true" outlineLevel="0" collapsed="false">
      <c r="A13" s="154" t="str">
        <f aca="false">"2. Funds Change- Taking $" &amp; K12 &amp;" " &amp; IF(K12 &gt; 0, "More", "Less") &amp; ": $" &amp;TEXT(D10+K12,"#,##0.0")&amp; " starting at age " &amp; TEXT(N1,"#,##0.0")</f>
        <v>2. Funds Change- Taking $1 More: $16.0 starting at age 64.8</v>
      </c>
      <c r="B13" s="154"/>
      <c r="C13" s="154"/>
      <c r="D13" s="155" t="n">
        <f aca="false">D10+K12+0.01</f>
        <v>16.01</v>
      </c>
      <c r="E13" s="156" t="str">
        <f aca="false">"← " &amp; TEXT(D13*12/D5*100, "0.00") &amp; "%"</f>
        <v>← 3.84%</v>
      </c>
      <c r="F13" s="157" t="str">
        <f aca="false">CHAR(10) &amp;  "If you only invest $" &amp; TEXT(D5,"#,##0.") &amp;  " you will have ~$" &amp; TEXT(P11,"#,##0.") &amp;  " by the time you reach the age of " &amp; ROUND(D19,1) &amp;  " with a gain of ~$" &amp; TEXT(H9,"#,##0.") &amp; " In interest." &amp; CHAR(10) &amp;  "If you save/contribute monthly an additional $" &amp; IF(P6&lt;=0,"0",TEXT(P6,"#,##0.")) &amp;  ",($" &amp; IF(P7&lt;=0,"0",TEXT(P7,"#,##0.")) &amp; ") if not compounded, until you are " &amp; TEXT(D19,"#,##0.0") &amp;  " You will have ~$" &amp; TEXT(H7,"#,##0.") &amp; " and meet your goal." &amp;  " This assumes a " &amp; D8*100 &amp; "% interest rate with compounding interest. Your current contribution is $" &amp; H5 &amp;  ". With time and interest that puts you around ***$" &amp; TEXT(G28,"#,##0.") &amp; "*** Against your goal of $" &amp; TEXT(H7,"#,##0.") &amp; CHAR(10) &amp; CHAR(10) &amp;  "You have decided to take $" &amp; K12 &amp; " " &amp; IF(L26&gt;0,"More","Less") &amp;  " on " &amp; TEXT(K11, "mm/dd/yyyy") &amp;  " making your new withdrawal amount $" &amp; TEXT(D10+K12,"#,##00.0") &amp;  " starting at age " &amp; TEXT(P1,"#,##00.0")</f>
        <v>
If you only invest $5,000 you will have ~$5,049 by the time you reach the age of 61.1 with a gain of ~$49 In interest.
If you save/contribute monthly an additional $0,($0) if not compounded, until you are 61.1 You will have ~$5,000 and meet your goal. This assumes a 5% interest rate with compounding interest. Your current contribution is $0. With time and interest that puts you around ***$5,049*** Against your goal of $5,000
You have decided to take $1 Less on 12/30/2030 making your new withdrawal amount $16.0 starting at age 65.3</v>
      </c>
      <c r="G13" s="157"/>
      <c r="H13" s="157"/>
      <c r="I13" s="157" t="s">
        <v>8</v>
      </c>
      <c r="J13" s="157"/>
      <c r="K13" s="157" t="str">
        <f aca="false">"You have decided to take $"&amp;K12&amp;" "&amp;IF(L26&gt;0,"More","Less")&amp;" on " &amp; TEXT(K11, "mm/dd/yyyy") &amp;" making your new withdrawal amount $" &amp;TEXT(D10+K12,"#,##00.0")&amp; " starting at age " &amp; TEXT(P1,"#,##00.0")</f>
        <v>You have decided to take $1 Less on 12/30/2030 making your new withdrawal amount $16.0 starting at age 65.3</v>
      </c>
      <c r="L13" s="157"/>
      <c r="M13" s="136" t="s">
        <v>92</v>
      </c>
      <c r="N13" s="137" t="n">
        <v>0</v>
      </c>
      <c r="O13" s="131"/>
      <c r="P13" s="158" t="n">
        <f aca="false">FV(D8/12, H11, -H5, 0, 0)</f>
        <v>-0</v>
      </c>
      <c r="Q13" s="71"/>
      <c r="T13" s="96"/>
      <c r="U13" s="75"/>
      <c r="V13" s="87" t="n">
        <v>0.22</v>
      </c>
      <c r="W13" s="88" t="n">
        <v>100800</v>
      </c>
      <c r="X13" s="88" t="n">
        <v>211399</v>
      </c>
      <c r="Z13" s="79"/>
      <c r="AA13" s="153"/>
      <c r="AB13" s="79" t="n">
        <f aca="false">X13*V13</f>
        <v>46507.78</v>
      </c>
      <c r="AC13" s="79" t="s">
        <v>8</v>
      </c>
      <c r="AD13" s="89"/>
      <c r="AE13" s="89"/>
    </row>
    <row r="14" customFormat="false" ht="21.9" hidden="false" customHeight="true" outlineLevel="0" collapsed="false">
      <c r="A14" s="115"/>
      <c r="B14" s="98"/>
      <c r="C14" s="99" t="s">
        <v>93</v>
      </c>
      <c r="D14" s="159" t="n">
        <f aca="false">AA7</f>
        <v>0.1</v>
      </c>
      <c r="E14" s="160" t="s">
        <v>94</v>
      </c>
      <c r="F14" s="157"/>
      <c r="G14" s="157"/>
      <c r="H14" s="157"/>
      <c r="I14" s="157"/>
      <c r="J14" s="157"/>
      <c r="K14" s="157"/>
      <c r="L14" s="157"/>
      <c r="M14" s="136" t="s">
        <v>95</v>
      </c>
      <c r="N14" s="137" t="n">
        <v>0</v>
      </c>
      <c r="O14" s="131"/>
      <c r="P14" s="161" t="s">
        <v>96</v>
      </c>
      <c r="Q14" s="162" t="s">
        <v>8</v>
      </c>
      <c r="T14" s="96"/>
      <c r="U14" s="75"/>
      <c r="V14" s="87" t="n">
        <v>0.24</v>
      </c>
      <c r="W14" s="88" t="n">
        <v>211400</v>
      </c>
      <c r="X14" s="88" t="n">
        <v>403549</v>
      </c>
      <c r="Z14" s="79"/>
      <c r="AB14" s="79" t="n">
        <f aca="false">X14*V14</f>
        <v>96851.76</v>
      </c>
    </row>
    <row r="15" customFormat="false" ht="19.05" hidden="false" customHeight="true" outlineLevel="0" collapsed="false">
      <c r="A15" s="115"/>
      <c r="B15" s="98"/>
      <c r="C15" s="99" t="s">
        <v>97</v>
      </c>
      <c r="D15" s="163" t="n">
        <f aca="false">AA8</f>
        <v>0.0475</v>
      </c>
      <c r="E15" s="156" t="str">
        <f aca="false">"← " &amp; TEXT(SUM(D14+D15)*100, "0.00") &amp; "%"</f>
        <v>← 14.75%</v>
      </c>
      <c r="F15" s="157"/>
      <c r="G15" s="157"/>
      <c r="H15" s="157"/>
      <c r="I15" s="157"/>
      <c r="J15" s="157"/>
      <c r="K15" s="157"/>
      <c r="L15" s="157"/>
      <c r="M15" s="136" t="s">
        <v>98</v>
      </c>
      <c r="N15" s="137" t="n">
        <v>0</v>
      </c>
      <c r="O15" s="131"/>
      <c r="P15" s="161" t="s">
        <v>99</v>
      </c>
      <c r="Q15" s="71"/>
      <c r="T15" s="96"/>
      <c r="U15" s="75"/>
      <c r="V15" s="87" t="n">
        <v>0.32</v>
      </c>
      <c r="W15" s="88" t="n">
        <v>403550</v>
      </c>
      <c r="X15" s="88" t="n">
        <v>512449</v>
      </c>
      <c r="Z15" s="79"/>
      <c r="AB15" s="79" t="n">
        <f aca="false">X15*V15</f>
        <v>163983.68</v>
      </c>
    </row>
    <row r="16" customFormat="false" ht="21.6" hidden="false" customHeight="true" outlineLevel="0" collapsed="false">
      <c r="A16" s="164" t="s">
        <v>100</v>
      </c>
      <c r="B16" s="164"/>
      <c r="C16" s="164"/>
      <c r="D16" s="122" t="n">
        <v>0.02</v>
      </c>
      <c r="E16" s="165" t="s">
        <v>101</v>
      </c>
      <c r="F16" s="157"/>
      <c r="G16" s="157"/>
      <c r="H16" s="157"/>
      <c r="I16" s="157"/>
      <c r="J16" s="157"/>
      <c r="K16" s="157"/>
      <c r="L16" s="157"/>
      <c r="M16" s="136" t="s">
        <v>102</v>
      </c>
      <c r="N16" s="137" t="n">
        <v>0</v>
      </c>
      <c r="O16" s="131" t="s">
        <v>8</v>
      </c>
      <c r="P16" s="144" t="n">
        <f aca="false">D13 / (1 - (D14+D15))</f>
        <v>18.7800586510264</v>
      </c>
      <c r="Q16" s="71"/>
      <c r="T16" s="96"/>
      <c r="U16" s="75"/>
      <c r="V16" s="87" t="n">
        <v>0.35</v>
      </c>
      <c r="W16" s="88" t="n">
        <v>512450</v>
      </c>
      <c r="X16" s="88" t="n">
        <v>768699</v>
      </c>
      <c r="AB16" s="79" t="n">
        <f aca="false">X16*V16</f>
        <v>269044.65</v>
      </c>
    </row>
    <row r="17" customFormat="false" ht="21.6" hidden="false" customHeight="true" outlineLevel="0" collapsed="false">
      <c r="A17" s="166" t="s">
        <v>103</v>
      </c>
      <c r="B17" s="166"/>
      <c r="C17" s="167" t="n">
        <v>23998</v>
      </c>
      <c r="D17" s="168" t="n">
        <f aca="true">YEARFRAC(C17, TODAY())</f>
        <v>60.85</v>
      </c>
      <c r="E17" s="156" t="n">
        <f aca="false">E29 * (1 + D16/12)^12 - E29</f>
        <v>0.343134046585529</v>
      </c>
      <c r="F17" s="157"/>
      <c r="G17" s="157"/>
      <c r="H17" s="157"/>
      <c r="I17" s="157"/>
      <c r="J17" s="157"/>
      <c r="K17" s="157"/>
      <c r="L17" s="157"/>
      <c r="M17" s="169"/>
      <c r="N17" s="170" t="n">
        <f aca="false">SUM(N10:N16)</f>
        <v>0</v>
      </c>
      <c r="O17" s="131"/>
      <c r="P17" s="79" t="n">
        <f aca="false">SUM(D32*(D14+D15))+D10</f>
        <v>18.009</v>
      </c>
      <c r="Q17" s="71"/>
      <c r="T17" s="96"/>
      <c r="U17" s="75"/>
      <c r="V17" s="87" t="n">
        <v>0.37</v>
      </c>
      <c r="W17" s="88" t="n">
        <v>768700</v>
      </c>
      <c r="X17" s="126" t="n">
        <v>99999999</v>
      </c>
    </row>
    <row r="18" customFormat="false" ht="19.4" hidden="false" customHeight="true" outlineLevel="0" collapsed="false">
      <c r="A18" s="171"/>
      <c r="B18" s="172"/>
      <c r="C18" s="99" t="s">
        <v>104</v>
      </c>
      <c r="D18" s="173" t="n">
        <f aca="true">(D7-TODAY())/365</f>
        <v>0.2</v>
      </c>
      <c r="E18" s="174"/>
      <c r="F18" s="69"/>
      <c r="G18" s="175"/>
      <c r="H18" s="175"/>
      <c r="I18" s="176"/>
      <c r="J18" s="60"/>
      <c r="K18" s="60"/>
      <c r="L18" s="60"/>
      <c r="M18" s="177" t="s">
        <v>105</v>
      </c>
      <c r="N18" s="177"/>
      <c r="O18" s="131" t="s">
        <v>8</v>
      </c>
      <c r="P18" s="71"/>
      <c r="Q18" s="71"/>
      <c r="T18" s="96"/>
      <c r="U18" s="75"/>
      <c r="V18" s="178"/>
      <c r="W18" s="178"/>
      <c r="X18" s="178"/>
    </row>
    <row r="19" customFormat="false" ht="15.75" hidden="false" customHeight="true" outlineLevel="0" collapsed="false">
      <c r="A19" s="171"/>
      <c r="B19" s="172"/>
      <c r="C19" s="99" t="s">
        <v>106</v>
      </c>
      <c r="D19" s="179" t="n">
        <f aca="false">D17+D18</f>
        <v>61.05</v>
      </c>
      <c r="E19" s="71"/>
      <c r="F19" s="71"/>
      <c r="G19" s="71"/>
      <c r="H19" s="71"/>
      <c r="I19" s="60"/>
      <c r="J19" s="60"/>
      <c r="K19" s="60"/>
      <c r="L19" s="60"/>
      <c r="M19" s="180" t="s">
        <v>107</v>
      </c>
      <c r="N19" s="181" t="n">
        <f aca="false">IFERROR( IF(SUM(N5-N7-N17)-SUM(N46/12)&lt;0,".0001",SUM(N5-N7-N17)-SUM(N46/12)),0)</f>
        <v>0</v>
      </c>
      <c r="O19" s="131"/>
      <c r="P19" s="71"/>
      <c r="Q19" s="182" t="s">
        <v>8</v>
      </c>
      <c r="R19" s="182"/>
      <c r="S19" s="183"/>
      <c r="T19" s="96"/>
      <c r="U19" s="184"/>
      <c r="V19" s="185" t="n">
        <v>0.0475</v>
      </c>
      <c r="W19" s="186" t="s">
        <v>46</v>
      </c>
      <c r="X19" s="186" t="n">
        <v>4300</v>
      </c>
      <c r="Y19" s="1" t="s">
        <v>108</v>
      </c>
    </row>
    <row r="20" customFormat="false" ht="15.75" hidden="false" customHeight="true" outlineLevel="0" collapsed="false">
      <c r="A20" s="171"/>
      <c r="B20" s="172"/>
      <c r="C20" s="99" t="s">
        <v>109</v>
      </c>
      <c r="D20" s="173" t="n">
        <f aca="false">IFERROR( IF(T2="YES",D11,D10 + (D5 * (D8 / 12) * (D14 + D15))),0)</f>
        <v>17.2125</v>
      </c>
      <c r="E20" s="174"/>
      <c r="F20" s="71"/>
      <c r="G20" s="71"/>
      <c r="H20" s="71"/>
      <c r="I20" s="60"/>
      <c r="J20" s="60"/>
      <c r="K20" s="60"/>
      <c r="L20" s="60"/>
      <c r="M20" s="180" t="s">
        <v>110</v>
      </c>
      <c r="N20" s="187" t="str">
        <f aca="false">IF(N5&lt;=0,"0",SUM(N5-N19)/(N5))</f>
        <v>0</v>
      </c>
      <c r="O20" s="131"/>
      <c r="P20" s="71"/>
      <c r="Q20" s="188"/>
      <c r="T20" s="96"/>
      <c r="U20" s="75" t="s">
        <v>111</v>
      </c>
      <c r="V20" s="185" t="n">
        <v>0.0675</v>
      </c>
      <c r="W20" s="186" t="n">
        <v>4300.01</v>
      </c>
      <c r="X20" s="186" t="n">
        <v>10750</v>
      </c>
      <c r="Y20" s="1"/>
    </row>
    <row r="21" customFormat="false" ht="15.75" hidden="false" customHeight="true" outlineLevel="0" collapsed="false">
      <c r="A21" s="171"/>
      <c r="B21" s="172"/>
      <c r="C21" s="99" t="s">
        <v>112</v>
      </c>
      <c r="D21" s="189" t="n">
        <f aca="false" t="array" ref="D21:D21">MAX(IF(ISNUMBER(A28:A570),A28:A570))</f>
        <v>435</v>
      </c>
      <c r="E21" s="174"/>
      <c r="F21" s="71"/>
      <c r="G21" s="71"/>
      <c r="H21" s="71"/>
      <c r="I21" s="60"/>
      <c r="J21" s="60"/>
      <c r="K21" s="60"/>
      <c r="L21" s="60"/>
      <c r="M21" s="190" t="s">
        <v>113</v>
      </c>
      <c r="N21" s="190"/>
      <c r="O21" s="190"/>
      <c r="P21" s="191" t="n">
        <f aca="false">EDATE($K$11, 12)</f>
        <v>48212</v>
      </c>
      <c r="Q21" s="192"/>
      <c r="T21" s="96"/>
      <c r="U21" s="75"/>
      <c r="V21" s="185" t="n">
        <v>0.0875</v>
      </c>
      <c r="W21" s="186" t="n">
        <v>10750.01</v>
      </c>
      <c r="X21" s="186" t="n">
        <v>125000</v>
      </c>
      <c r="Y21" s="1"/>
    </row>
    <row r="22" customFormat="false" ht="15.75" hidden="false" customHeight="true" outlineLevel="0" collapsed="false">
      <c r="A22" s="171"/>
      <c r="B22" s="172"/>
      <c r="C22" s="99" t="s">
        <v>114</v>
      </c>
      <c r="D22" s="193" t="n">
        <f aca="false">IF(D19 + IF(D9="Annually", D21, D21 / 12)&gt;106,"Legacy",D19 + IF(D9="Annually", D21, D21 / 12))</f>
        <v>97.3</v>
      </c>
      <c r="E22" s="174"/>
      <c r="F22" s="71"/>
      <c r="G22" s="71"/>
      <c r="H22" s="71"/>
      <c r="I22" s="60"/>
      <c r="J22" s="60"/>
      <c r="K22" s="60"/>
      <c r="L22" s="60"/>
      <c r="M22" s="190"/>
      <c r="N22" s="190"/>
      <c r="O22" s="190"/>
      <c r="P22" s="152" t="n">
        <f aca="false">1 + $N$9</f>
        <v>1</v>
      </c>
      <c r="Q22" s="192"/>
      <c r="T22" s="96"/>
      <c r="U22" s="75"/>
      <c r="V22" s="185" t="n">
        <v>0.099</v>
      </c>
      <c r="W22" s="186" t="n">
        <v>125000.01</v>
      </c>
      <c r="X22" s="186" t="n">
        <v>9999999999</v>
      </c>
      <c r="Y22" s="68" t="s">
        <v>8</v>
      </c>
    </row>
    <row r="23" customFormat="false" ht="12.75" hidden="false" customHeight="true" outlineLevel="0" collapsed="false">
      <c r="A23" s="171"/>
      <c r="B23" s="172"/>
      <c r="C23" s="99" t="s">
        <v>115</v>
      </c>
      <c r="D23" s="194" t="n">
        <f aca="false">IF(D22="Legacy","Forever",D22-D19)</f>
        <v>36.25</v>
      </c>
      <c r="E23" s="174"/>
      <c r="F23" s="71"/>
      <c r="G23" s="71"/>
      <c r="H23" s="71"/>
      <c r="I23" s="60"/>
      <c r="J23" s="60"/>
      <c r="K23" s="60"/>
      <c r="L23" s="60"/>
      <c r="M23" s="195" t="s">
        <v>116</v>
      </c>
      <c r="N23" s="195"/>
      <c r="O23" s="196" t="s">
        <v>117</v>
      </c>
      <c r="P23" s="71" t="n">
        <f aca="false">IF(B29&lt;$P$21, 0, 1 + DATEDIF($P$21, B29, "y"))</f>
        <v>0</v>
      </c>
      <c r="Q23" s="192"/>
      <c r="T23" s="96"/>
      <c r="U23" s="75"/>
      <c r="V23" s="197"/>
      <c r="W23" s="198"/>
      <c r="X23" s="198"/>
    </row>
    <row r="24" customFormat="false" ht="12.75" hidden="false" customHeight="true" outlineLevel="0" collapsed="false">
      <c r="A24" s="171"/>
      <c r="B24" s="172"/>
      <c r="C24" s="99" t="s">
        <v>118</v>
      </c>
      <c r="D24" s="173" t="n">
        <f aca="false">SUMIF(D27:D749,"&gt;.01")</f>
        <v>6836.25</v>
      </c>
      <c r="E24" s="174"/>
      <c r="F24" s="71"/>
      <c r="G24" s="71"/>
      <c r="H24" s="71"/>
      <c r="I24" s="60"/>
      <c r="J24" s="60"/>
      <c r="K24" s="60"/>
      <c r="L24" s="60"/>
      <c r="M24" s="195"/>
      <c r="N24" s="195"/>
      <c r="O24" s="196"/>
      <c r="P24" s="71"/>
      <c r="Q24" s="199" t="str">
        <f aca="true">IF(TODAY()&lt;Y5,"Income cap amount SSN penalty if work income over limit (you)","***Outdated SSN thresholds "&amp;TEXT(Y5,"yyyy"))</f>
        <v>Income cap amount SSN penalty if work income over limit (you)</v>
      </c>
      <c r="T24" s="91"/>
      <c r="U24" s="75"/>
      <c r="V24" s="200"/>
      <c r="W24" s="200"/>
      <c r="X24" s="200"/>
      <c r="Y24" s="1"/>
    </row>
    <row r="25" customFormat="false" ht="30.7" hidden="false" customHeight="true" outlineLevel="0" collapsed="false">
      <c r="A25" s="171"/>
      <c r="B25" s="172"/>
      <c r="C25" s="99" t="s">
        <v>119</v>
      </c>
      <c r="D25" s="173" t="n">
        <f aca="false">SUMIF(E28:E749,"&gt;.01")</f>
        <v>11885.28</v>
      </c>
      <c r="E25" s="175"/>
      <c r="F25" s="71"/>
      <c r="G25" s="201"/>
      <c r="H25" s="201"/>
      <c r="I25" s="60"/>
      <c r="J25" s="60"/>
      <c r="K25" s="60"/>
      <c r="L25" s="60"/>
      <c r="M25" s="202" t="n">
        <f aca="false">IFERROR( SUM(D11+(SUM(Q35:Q47)/12))+SUM(SUM(N39:N41)/12),0)</f>
        <v>17.2125</v>
      </c>
      <c r="N25" s="202"/>
      <c r="O25" s="202" t="n">
        <f aca="false">IFERROR( (D10+SUM(SUM(N39:N41)+SUM(Q35:Q47))/12*(1-(D14+D15))),0)</f>
        <v>15</v>
      </c>
      <c r="P25" s="71"/>
      <c r="Q25" s="199"/>
      <c r="T25" s="91"/>
      <c r="U25" s="203" t="s">
        <v>8</v>
      </c>
      <c r="V25" s="185" t="n">
        <v>0.0475</v>
      </c>
      <c r="W25" s="186" t="s">
        <v>46</v>
      </c>
      <c r="X25" s="186" t="n">
        <v>8600</v>
      </c>
      <c r="Y25" s="1" t="s">
        <v>120</v>
      </c>
    </row>
    <row r="26" customFormat="false" ht="26.3" hidden="false" customHeight="true" outlineLevel="0" collapsed="false">
      <c r="A26" s="204" t="s">
        <v>121</v>
      </c>
      <c r="B26" s="204"/>
      <c r="C26" s="204"/>
      <c r="D26" s="204"/>
      <c r="E26" s="204"/>
      <c r="F26" s="204"/>
      <c r="G26" s="204"/>
      <c r="H26" s="205"/>
      <c r="I26" s="206"/>
      <c r="J26" s="206"/>
      <c r="K26" s="206"/>
      <c r="L26" s="206"/>
      <c r="M26" s="207" t="s">
        <v>122</v>
      </c>
      <c r="N26" s="207"/>
      <c r="O26" s="208" t="s">
        <v>123</v>
      </c>
      <c r="P26" s="71"/>
      <c r="Q26" s="209" t="n">
        <v>24480</v>
      </c>
      <c r="T26" s="210" t="s">
        <v>124</v>
      </c>
      <c r="U26" s="75"/>
      <c r="V26" s="185" t="n">
        <v>0.0675</v>
      </c>
      <c r="W26" s="186" t="n">
        <v>8600.01</v>
      </c>
      <c r="X26" s="186" t="n">
        <v>21500</v>
      </c>
      <c r="Y26" s="1"/>
    </row>
    <row r="27" customFormat="false" ht="30.7" hidden="false" customHeight="true" outlineLevel="0" collapsed="false">
      <c r="A27" s="211" t="s">
        <v>125</v>
      </c>
      <c r="B27" s="212" t="s">
        <v>126</v>
      </c>
      <c r="C27" s="212" t="s">
        <v>127</v>
      </c>
      <c r="D27" s="212" t="s">
        <v>128</v>
      </c>
      <c r="E27" s="212" t="s">
        <v>129</v>
      </c>
      <c r="F27" s="212" t="s">
        <v>130</v>
      </c>
      <c r="G27" s="212" t="s">
        <v>131</v>
      </c>
      <c r="H27" s="213" t="s">
        <v>132</v>
      </c>
      <c r="I27" s="214"/>
      <c r="J27" s="215" t="s">
        <v>133</v>
      </c>
      <c r="K27" s="215"/>
      <c r="L27" s="215"/>
      <c r="M27" s="202" t="n">
        <f aca="false">IFERROR( SUM(D11+K12+N5+(SUM(Q35:Q47)/12))+SUM(SUM(N39:N41)/12),0)</f>
        <v>18.2125</v>
      </c>
      <c r="N27" s="202"/>
      <c r="O27" s="202" t="n">
        <f aca="false">IFERROR( ((D10+K12)+N19+SUM(SUM(N39:N41)+SUM(Q35:Q47))/12*(1-(D14+D15))),0)</f>
        <v>16</v>
      </c>
      <c r="P27" s="71"/>
      <c r="Q27" s="216" t="n">
        <f aca="false">N39</f>
        <v>0</v>
      </c>
      <c r="R27" s="89" t="s">
        <v>8</v>
      </c>
      <c r="S27" s="70" t="s">
        <v>8</v>
      </c>
      <c r="T27" s="91"/>
      <c r="U27" s="75"/>
      <c r="V27" s="185" t="n">
        <v>0.0875</v>
      </c>
      <c r="W27" s="186" t="n">
        <v>21500.01</v>
      </c>
      <c r="X27" s="186" t="n">
        <v>250000</v>
      </c>
      <c r="Y27" s="81"/>
    </row>
    <row r="28" customFormat="false" ht="14.9" hidden="false" customHeight="true" outlineLevel="0" collapsed="false">
      <c r="A28" s="217" t="n">
        <v>0</v>
      </c>
      <c r="B28" s="218" t="n">
        <f aca="false">D7</f>
        <v>46295</v>
      </c>
      <c r="C28" s="219" t="n">
        <f aca="false">D19</f>
        <v>61.05</v>
      </c>
      <c r="D28" s="220" t="n">
        <v>1E-005</v>
      </c>
      <c r="E28" s="220" t="n">
        <f aca="false">IF(type=1,$D$20,0.0001)</f>
        <v>0.0001</v>
      </c>
      <c r="F28" s="220" t="n">
        <f aca="false">IF(J28&lt;&gt;1, 0,$K$12 * (1 + $N$9 / 12) ^ A1  )</f>
        <v>0</v>
      </c>
      <c r="G28" s="221" t="n">
        <f aca="false">D5-E28-F28+H9+SUM(P13)</f>
        <v>5049.02888836743</v>
      </c>
      <c r="H28" s="222"/>
      <c r="I28" s="223" t="n">
        <f aca="false">IF(ISERROR(A29),"",12 - MONTH(B28))</f>
        <v>3</v>
      </c>
      <c r="J28" s="224" t="n">
        <f aca="false">K28</f>
        <v>0</v>
      </c>
      <c r="K28" s="225" t="n">
        <f aca="false">_xlfn.IFNA(IF(B28&gt;=$K$11, 1,0),0)</f>
        <v>0</v>
      </c>
      <c r="L28" s="60" t="str">
        <f aca="false">IF(I28=0,1,"")</f>
        <v/>
      </c>
      <c r="M28" s="226" t="s">
        <v>134</v>
      </c>
      <c r="N28" s="226"/>
      <c r="O28" s="227" t="s">
        <v>135</v>
      </c>
      <c r="P28" s="107" t="n">
        <v>0</v>
      </c>
      <c r="Q28" s="199" t="str">
        <f aca="true">IF(TODAY()&lt;Y5,"Income cap amount SSN penalty if work income over limit (SPOUSE)","***Outdated SSN thresholds "&amp;TEXT(Y5,"yyyy"))</f>
        <v>Income cap amount SSN penalty if work income over limit (SPOUSE)</v>
      </c>
      <c r="T28" s="91"/>
      <c r="U28" s="75"/>
      <c r="V28" s="185" t="n">
        <v>0.099</v>
      </c>
      <c r="W28" s="186" t="n">
        <v>250000.01</v>
      </c>
      <c r="X28" s="186" t="n">
        <v>9999999</v>
      </c>
    </row>
    <row r="29" customFormat="false" ht="29.85" hidden="false" customHeight="true" outlineLevel="0" collapsed="false">
      <c r="A29" s="228" t="n">
        <f aca="false">IF(OR(G28="",G28&lt;=0,C28&gt;150),NA(),A28+1)</f>
        <v>1</v>
      </c>
      <c r="B29" s="229" t="n">
        <f aca="false">IF(ISERROR(A29),"",IF($D$9="Annually",EDATE(B28,12),EDATE(B28,1)))</f>
        <v>46325</v>
      </c>
      <c r="C29" s="230" t="n">
        <f aca="false">IF(ISERROR(A29),"",C28+IF($D$9="Monthly",1/12,1))</f>
        <v>61.1333333333333</v>
      </c>
      <c r="D29" s="231" t="n">
        <f aca="false">IF(   L28&lt;&gt;1,   IF(G28&lt;E28, 0, D28),   IF(     L28=1,     IFERROR(       ROUND(         IF(           $D$9="Annually",           G28 * (1 + $D$8),           IF(G28 - (E28 * 6) &lt; 0, D28, (G28 - (E28 * 6)) * $D$8 / 12)         ),         2       ),       0     )   ) )</f>
        <v>1E-005</v>
      </c>
      <c r="E29" s="231" t="n">
        <f aca="false">IF(ISERROR(A29),"",MIN(ROUND(G28+D29,2),ROUND(FV($S$5,IF(type=1,A29,A28),,IF(J29&lt;&gt;1,-$D$20,-$P$16),2),0)))</f>
        <v>17</v>
      </c>
      <c r="F29" s="231" t="n">
        <f aca="false">IF(J29&lt;&gt;1, 0, IF(J28&lt;&gt;0, F28, $K$12))</f>
        <v>0</v>
      </c>
      <c r="G29" s="232" t="n">
        <f aca="false">IF(ISERROR(A29),"",ROUND(G28-E29+D29,2))</f>
        <v>5032.03</v>
      </c>
      <c r="H29" s="233" t="n">
        <f aca="false">(N43 / 12) * ((1 + $D$16) ^ $D$18)+F29</f>
        <v>18.4328594330133</v>
      </c>
      <c r="I29" s="223" t="n">
        <f aca="false">IF(ISERROR(A30),"",12 - MONTH(B29))</f>
        <v>2</v>
      </c>
      <c r="J29" s="224" t="n">
        <f aca="false">K29</f>
        <v>0</v>
      </c>
      <c r="K29" s="225" t="n">
        <f aca="false">_xlfn.IFNA(IF(B29&gt;=$K$11, 1,0),0)</f>
        <v>0</v>
      </c>
      <c r="L29" s="60" t="str">
        <f aca="false">IF(I29=0,1,"")</f>
        <v/>
      </c>
      <c r="M29" s="202" t="n">
        <f aca="false">IFERROR( SUM(H8/D21)+M27,0)</f>
        <v>18.2125</v>
      </c>
      <c r="N29" s="202"/>
      <c r="O29" s="202" t="n">
        <f aca="false">IFERROR( SUM((H8/D21)*(1-(D14+D15)))+O27,0)</f>
        <v>16</v>
      </c>
      <c r="P29" s="4" t="n">
        <f aca="false">IF(AND(G29&gt;E29, A29&lt;&gt;0, V29&lt;&gt;0), $N$5 * ($P$22 ^ V29 - 1), 0)</f>
        <v>0</v>
      </c>
      <c r="Q29" s="199"/>
      <c r="R29" s="1"/>
      <c r="S29" s="234"/>
      <c r="T29" s="235"/>
      <c r="U29" s="236"/>
      <c r="V29" s="71"/>
      <c r="W29" s="71"/>
      <c r="X29" s="71"/>
    </row>
    <row r="30" customFormat="false" ht="35.1" hidden="false" customHeight="true" outlineLevel="0" collapsed="false">
      <c r="A30" s="228" t="n">
        <f aca="false">IF(OR(G29="",G29&lt;=0,C29&gt;150),NA(),A29+1)</f>
        <v>2</v>
      </c>
      <c r="B30" s="229" t="n">
        <f aca="false">IF(ISERROR(A30),"",IF($D$9="Annually",EDATE(B29,12),EDATE(B29,1)))</f>
        <v>46356</v>
      </c>
      <c r="C30" s="230" t="n">
        <f aca="false">IF(ISERROR(A30),"",C29+IF($D$9="Monthly",1/12,1))</f>
        <v>61.2166666666667</v>
      </c>
      <c r="D30" s="231" t="n">
        <f aca="false">IF(L29&lt;&gt;1, IF(G29&lt;E29,0,D29),IF(L29=1,IFERROR(ROUND(IF($G29 - (E29 * 6) &lt; 0, D29, ($G29 - (E29 * 6)) * $D$8 / 12),2),0) ) )</f>
        <v>1E-005</v>
      </c>
      <c r="E30" s="231" t="n">
        <f aca="false">IF(ISERROR(A30), 0,  MAX(0,   MIN(    ROUND(G29 + D30, 2),    ROUND(FV($S$5, IF(type=1, A30, A29), , IF(J30&lt;&gt;1, -$D$20, -$P$16 + P30), 2), 0)   )  ) )</f>
        <v>17</v>
      </c>
      <c r="F30" s="231" t="str">
        <f aca="false">IF(J30&lt;&gt;1, "", IF(J29&lt;&gt;0, F29, $K$12))</f>
        <v/>
      </c>
      <c r="G30" s="232" t="n">
        <f aca="false">IF(ISERROR(A30),"",ROUND(G29-E30+D30,2))</f>
        <v>5015.03</v>
      </c>
      <c r="H30" s="237" t="n">
        <f aca="false">IF(G30&gt;0,IFERROR(H29+(H29*($D$16/12)),""),"")</f>
        <v>18.4635808654017</v>
      </c>
      <c r="I30" s="223" t="n">
        <f aca="false">IF(ISERROR(A31),"",12 - MONTH(B30))</f>
        <v>1</v>
      </c>
      <c r="J30" s="224" t="n">
        <f aca="false">K30</f>
        <v>0</v>
      </c>
      <c r="K30" s="225" t="n">
        <f aca="false">_xlfn.IFNA(IF(B30&gt;=$K$11, 1,0),0)</f>
        <v>0</v>
      </c>
      <c r="L30" s="60" t="str">
        <f aca="false">IF(I30=0,1,"")</f>
        <v/>
      </c>
      <c r="M30" s="238" t="str">
        <f aca="false">"You have decided to take $"&amp;K12&amp;" "&amp;IF(L26&gt;0,"More","Less")&amp;" on " &amp; TEXT(K11, "mm/dd/yyyy") &amp;" making your new withdrawal amount $" &amp;TEXT(D10+K12,"#,##0.")&amp; " from $" &amp; TEXT(D10,"#,##0.") &amp;" starting at age " &amp; TEXT(P1,"#,##00.0") &amp; ". If you do not use section 3 and 4, your average monthy spending amount will be $" &amp; TEXT(D10,"#,##0.") &amp; " and your taxable amount will be $"&amp; TEXT(D11,"#,##0.") &amp; "."</f>
        <v>You have decided to take $1 Less on 12/30/2030 making your new withdrawal amount $16 from $15 starting at age 65.3. If you do not use section 3 and 4, your average monthy spending amount will be $15 and your taxable amount will be $17.</v>
      </c>
      <c r="N30" s="238"/>
      <c r="O30" s="238"/>
      <c r="P30" s="4" t="n">
        <f aca="false">IF(AND(G30&gt;E30, A30&lt;&gt;0, V30&lt;&gt;0), $N$5 * ($P$22 ^ V30 - 1), 0)</f>
        <v>0</v>
      </c>
      <c r="Q30" s="209" t="n">
        <v>24480</v>
      </c>
      <c r="R30" s="1"/>
      <c r="S30" s="234"/>
      <c r="T30" s="210" t="s">
        <v>124</v>
      </c>
      <c r="U30" s="236"/>
      <c r="V30" s="71" t="n">
        <f aca="false">IF(B30&lt;EDATE($K$11,12), 0,  DATEDIF(EDATE($K$11,12), B30 + 1, "y") + 1 )</f>
        <v>0</v>
      </c>
      <c r="W30" s="71"/>
      <c r="X30" s="71"/>
    </row>
    <row r="31" customFormat="false" ht="12.75" hidden="false" customHeight="true" outlineLevel="0" collapsed="false">
      <c r="A31" s="228" t="n">
        <f aca="false">IF(OR(G30="",G30&lt;=0,C30&gt;150),NA(),A30+1)</f>
        <v>3</v>
      </c>
      <c r="B31" s="229" t="n">
        <f aca="false">IF(ISERROR(A31),"",IF($D$9="Annually",EDATE(B30,12),EDATE(B30,1)))</f>
        <v>46386</v>
      </c>
      <c r="C31" s="230" t="n">
        <f aca="false">IF(ISERROR(A31),"",C30+IF($D$9="Monthly",1/12,1))</f>
        <v>61.3</v>
      </c>
      <c r="D31" s="231" t="n">
        <f aca="false">IF(L30&lt;&gt;1, IF(G30&lt;E30,0,D30),IF(L30=1,IFERROR(ROUND(IF($G30 - (E30 * 6) &lt; 0, D30, ($G30 - (E30 * 6)) * $D$8 / 12),2),0) ) )</f>
        <v>1E-005</v>
      </c>
      <c r="E31" s="231" t="n">
        <f aca="false">IF(ISERROR(A31), 0,  MAX(0,   MIN(    ROUND(G30 + D31, 2),    ROUND(FV($S$5, IF(type=1, A31, A30), , IF(J31&lt;&gt;1, -$D$20, -$P$16 + P31), 2), 0)   )  ) )</f>
        <v>17</v>
      </c>
      <c r="F31" s="231" t="str">
        <f aca="false">IF(J31&lt;&gt;1, "", IF(J30&lt;&gt;0, F30, $K$12))</f>
        <v/>
      </c>
      <c r="G31" s="232" t="n">
        <f aca="false">IF(ISERROR(A31),"",ROUND(G30-E31+D31,2))</f>
        <v>4998.03</v>
      </c>
      <c r="H31" s="237" t="n">
        <f aca="false">IF(G31&gt;0,IFERROR(H30+(H30*($D$16/12)),""),"")</f>
        <v>18.4943535001773</v>
      </c>
      <c r="I31" s="223" t="n">
        <f aca="false">IF(ISERROR(A32),"",12 - MONTH(B31))</f>
        <v>0</v>
      </c>
      <c r="J31" s="224" t="n">
        <f aca="false">K31</f>
        <v>0</v>
      </c>
      <c r="K31" s="225" t="n">
        <f aca="false">_xlfn.IFNA(IF(B31&gt;=$K$11, 1,0),0)</f>
        <v>0</v>
      </c>
      <c r="L31" s="60" t="n">
        <f aca="false">IF(I31=0,1,"")</f>
        <v>1</v>
      </c>
      <c r="M31" s="239" t="s">
        <v>136</v>
      </c>
      <c r="N31" s="239"/>
      <c r="O31" s="240" t="n">
        <v>25000</v>
      </c>
      <c r="P31" s="4" t="n">
        <f aca="false">IF(AND(G31&gt;E31, A31&lt;&gt;0, V31&lt;&gt;0), $N$5 * ($P$22 ^ V31 - 1), 0)</f>
        <v>0</v>
      </c>
      <c r="Q31" s="241" t="n">
        <f aca="false">N41</f>
        <v>0</v>
      </c>
      <c r="R31" s="1"/>
      <c r="S31" s="234"/>
      <c r="T31" s="235"/>
      <c r="U31" s="236"/>
      <c r="V31" s="71" t="n">
        <f aca="false">IF(B31&lt;EDATE($K$11,12), 0,  DATEDIF(EDATE($K$11,12), B31 + 1, "y") + 1 )</f>
        <v>0</v>
      </c>
      <c r="W31" s="71"/>
      <c r="X31" s="71"/>
    </row>
    <row r="32" customFormat="false" ht="12.75" hidden="false" customHeight="true" outlineLevel="0" collapsed="false">
      <c r="A32" s="228" t="n">
        <f aca="false">IF(OR(G31="",G31&lt;=0,C31&gt;150),NA(),A31+1)</f>
        <v>4</v>
      </c>
      <c r="B32" s="229" t="n">
        <f aca="false">IF(ISERROR(A32),"",IF($D$9="Annually",EDATE(B31,12),EDATE(B31,1)))</f>
        <v>46417</v>
      </c>
      <c r="C32" s="230" t="n">
        <f aca="false">IF(ISERROR(A32),"",C31+IF($D$9="Monthly",1/12,1))</f>
        <v>61.3833333333334</v>
      </c>
      <c r="D32" s="231" t="n">
        <f aca="false">IF(L31&lt;&gt;1, IF(G31&lt;E31,0,D31),IF(L31=1,IFERROR(ROUND(IF($G31 - (E31 * 6) &lt; 0, D31, ($G31 - (E31 * 6)) * $D$8 / 12),2),0) ) )</f>
        <v>20.4</v>
      </c>
      <c r="E32" s="231" t="n">
        <f aca="false">IF(ISERROR(A32), 0,  MAX(0,   MIN(    ROUND(G31 + D32, 2),    ROUND(FV($S$5, IF(type=1, A32, A31), , IF(J32&lt;&gt;1, -$D$20, -$P$16 + P32), 2), 0)   )  ) )</f>
        <v>17</v>
      </c>
      <c r="F32" s="231" t="str">
        <f aca="false">IF(J32&lt;&gt;1, "", IF(J31&lt;&gt;0, F31, $K$12))</f>
        <v/>
      </c>
      <c r="G32" s="232" t="n">
        <f aca="false">IF(ISERROR(A32),"",ROUND(G31-E32+D32,2))</f>
        <v>5001.43</v>
      </c>
      <c r="H32" s="237" t="n">
        <f aca="false">IF(G32&gt;0,IFERROR(H31+(H31*($D$16/12)),""),"")</f>
        <v>18.5251774226776</v>
      </c>
      <c r="I32" s="223" t="n">
        <f aca="false">IF(ISERROR(A33),"",12 - MONTH(B32))</f>
        <v>11</v>
      </c>
      <c r="J32" s="224" t="n">
        <f aca="false">K32</f>
        <v>0</v>
      </c>
      <c r="K32" s="225" t="n">
        <f aca="false">_xlfn.IFNA(IF(B32&gt;=$K$11, 1,0),0)</f>
        <v>0</v>
      </c>
      <c r="L32" s="60" t="str">
        <f aca="false">IF(I32=0,1,"")</f>
        <v/>
      </c>
      <c r="M32" s="242" t="s">
        <v>137</v>
      </c>
      <c r="N32" s="242"/>
      <c r="O32" s="243" t="n">
        <v>32000</v>
      </c>
      <c r="P32" s="4" t="n">
        <f aca="false">IF(AND(G32&gt;E32, A32&lt;&gt;0, V32&lt;&gt;0), $N$5 * ($P$22 ^ V32 - 1), 0)</f>
        <v>0</v>
      </c>
      <c r="Q32" s="241"/>
      <c r="R32" s="1"/>
      <c r="S32" s="234"/>
      <c r="T32" s="235"/>
      <c r="U32" s="236"/>
      <c r="V32" s="71" t="n">
        <f aca="false">IF(B32&lt;EDATE($K$11,12), 0,  DATEDIF(EDATE($K$11,12), B32 + 1, "y") + 1 )</f>
        <v>0</v>
      </c>
      <c r="W32" s="71"/>
      <c r="X32" s="71"/>
    </row>
    <row r="33" customFormat="false" ht="12.75" hidden="false" customHeight="true" outlineLevel="0" collapsed="false">
      <c r="A33" s="228" t="n">
        <f aca="false">IF(OR(G32="",G32&lt;=0,C32&gt;150),NA(),A32+1)</f>
        <v>5</v>
      </c>
      <c r="B33" s="229" t="n">
        <f aca="false">IF(ISERROR(A33),"",IF($D$9="Annually",EDATE(B32,12),EDATE(B32,1)))</f>
        <v>46446</v>
      </c>
      <c r="C33" s="230" t="n">
        <f aca="false">IF(ISERROR(A33),"",C32+IF($D$9="Monthly",1/12,1))</f>
        <v>61.4666666666667</v>
      </c>
      <c r="D33" s="231" t="n">
        <f aca="false">IF(L32&lt;&gt;1, IF(G32&lt;E32,0,D32),IF(L32=1,IFERROR(ROUND(IF($G32 - (E32 * 6) &lt; 0, D32, ($G32 - (E32 * 6)) * $D$8 / 12),2),0) ) )</f>
        <v>20.4</v>
      </c>
      <c r="E33" s="231" t="n">
        <f aca="false">IF(ISERROR(A33), 0,  MAX(0,   MIN(    ROUND(G32 + D33, 2),    ROUND(FV($S$5, IF(type=1, A33, A32), , IF(J33&lt;&gt;1, -$D$20, -$P$16 + P33), 2), 0)   )  ) )</f>
        <v>17</v>
      </c>
      <c r="F33" s="231" t="str">
        <f aca="false">IF(J33&lt;&gt;1, "", IF(J32&lt;&gt;0, F32, $K$12))</f>
        <v/>
      </c>
      <c r="G33" s="232" t="n">
        <f aca="false">IF(ISERROR(A33),"",ROUND(G32-E33+D33,2))</f>
        <v>5004.83</v>
      </c>
      <c r="H33" s="237" t="n">
        <f aca="false">IF(G33&gt;0,IFERROR(H32+(H32*($D$16/12)),""),"")</f>
        <v>18.5560527183821</v>
      </c>
      <c r="I33" s="223" t="n">
        <f aca="false">IF(ISERROR(A34),"",12 - MONTH(B33))</f>
        <v>10</v>
      </c>
      <c r="J33" s="224" t="n">
        <f aca="false">K33</f>
        <v>0</v>
      </c>
      <c r="K33" s="225" t="n">
        <f aca="false">_xlfn.IFNA(IF(B33&gt;=$K$11, 1,0),0)</f>
        <v>0</v>
      </c>
      <c r="L33" s="60" t="str">
        <f aca="false">IF(I33=0,1,"")</f>
        <v/>
      </c>
      <c r="M33" s="244" t="s">
        <v>138</v>
      </c>
      <c r="N33" s="244"/>
      <c r="O33" s="245" t="n">
        <v>34000</v>
      </c>
      <c r="P33" s="4" t="n">
        <f aca="false">IF(AND(G33&gt;E33, A33&lt;&gt;0, V33&lt;&gt;0), $N$5 * ($P$22 ^ V33 - 1), 0)</f>
        <v>0</v>
      </c>
      <c r="Q33" s="246" t="s">
        <v>139</v>
      </c>
      <c r="R33" s="247"/>
      <c r="S33" s="248"/>
      <c r="T33" s="235"/>
      <c r="U33" s="75"/>
      <c r="V33" s="71" t="n">
        <f aca="false">IF(B33&lt;EDATE($K$11,12), 0,  DATEDIF(EDATE($K$11,12), B33 + 1, "y") + 1 )</f>
        <v>0</v>
      </c>
    </row>
    <row r="34" customFormat="false" ht="12.75" hidden="false" customHeight="true" outlineLevel="0" collapsed="false">
      <c r="A34" s="228" t="n">
        <f aca="false">IF(OR(G33="",G33&lt;=0,C33&gt;150),NA(),A33+1)</f>
        <v>6</v>
      </c>
      <c r="B34" s="229" t="n">
        <f aca="false">IF(ISERROR(A34),"",IF($D$9="Annually",EDATE(B33,12),EDATE(B33,1)))</f>
        <v>46474</v>
      </c>
      <c r="C34" s="230" t="n">
        <f aca="false">IF(ISERROR(A34),"",C33+IF($D$9="Monthly",1/12,1))</f>
        <v>61.55</v>
      </c>
      <c r="D34" s="231" t="n">
        <f aca="false">IF(L33&lt;&gt;1, IF(G33&lt;E33,0,D33),IF(L33=1,IFERROR(ROUND(IF($G33 - (E33 * 6) &lt; 0, D33, ($G33 - (E33 * 6)) * $D$8 / 12),2),0) ) )</f>
        <v>20.4</v>
      </c>
      <c r="E34" s="231" t="n">
        <f aca="false">IF(ISERROR(A34), 0,  MAX(0,   MIN(    ROUND(G33 + D34, 2),    ROUND(FV($S$5, IF(type=1, A34, A33), , IF(J34&lt;&gt;1, -$D$20, -$P$16 + P34), 2), 0)   )  ) )</f>
        <v>17</v>
      </c>
      <c r="F34" s="231" t="str">
        <f aca="false">IF(J34&lt;&gt;1, "", IF(J33&lt;&gt;0, F33, $K$12))</f>
        <v/>
      </c>
      <c r="G34" s="232" t="n">
        <f aca="false">IF(ISERROR(A34),"",ROUND(G33-E34+D34,2))</f>
        <v>5008.23</v>
      </c>
      <c r="H34" s="237" t="n">
        <f aca="false">IF(G34&gt;0,IFERROR(H33+(H33*($D$16/12)),""),"")</f>
        <v>18.5869794729127</v>
      </c>
      <c r="I34" s="223" t="n">
        <f aca="false">IF(ISERROR(A35),"",12 - MONTH(B34))</f>
        <v>9</v>
      </c>
      <c r="J34" s="224" t="n">
        <f aca="false">K34</f>
        <v>0</v>
      </c>
      <c r="K34" s="225" t="n">
        <f aca="false">_xlfn.IFNA(IF(B34&gt;=$K$11, 1,0),0)</f>
        <v>0</v>
      </c>
      <c r="L34" s="60" t="str">
        <f aca="false">IF(I34=0,1,"")</f>
        <v/>
      </c>
      <c r="M34" s="249" t="s">
        <v>140</v>
      </c>
      <c r="N34" s="249"/>
      <c r="O34" s="245" t="n">
        <v>44000</v>
      </c>
      <c r="P34" s="4" t="n">
        <f aca="false">IF(AND(G34&gt;E34, A34&lt;&gt;0, V34&lt;&gt;0), $N$5 * ($P$22 ^ V34 - 1), 0)</f>
        <v>0</v>
      </c>
      <c r="Q34" s="246"/>
      <c r="R34" s="250"/>
      <c r="S34" s="248"/>
      <c r="T34" s="235"/>
      <c r="U34" s="75"/>
      <c r="V34" s="71" t="n">
        <f aca="false">IF(B34&lt;EDATE($K$11,12), 0,  DATEDIF(EDATE($K$11,12), B34 + 1, "y") + 1 )</f>
        <v>0</v>
      </c>
    </row>
    <row r="35" customFormat="false" ht="12.75" hidden="false" customHeight="true" outlineLevel="0" collapsed="false">
      <c r="A35" s="228" t="n">
        <f aca="false">IF(OR(G34="",G34&lt;=0,C34&gt;150),NA(),A34+1)</f>
        <v>7</v>
      </c>
      <c r="B35" s="229" t="n">
        <f aca="false">IF(ISERROR(A35),"",IF($D$9="Annually",EDATE(B34,12),EDATE(B34,1)))</f>
        <v>46505</v>
      </c>
      <c r="C35" s="230" t="n">
        <f aca="false">IF(ISERROR(A35),"",C34+IF($D$9="Monthly",1/12,1))</f>
        <v>61.6333333333334</v>
      </c>
      <c r="D35" s="231" t="n">
        <f aca="false">IF(L34&lt;&gt;1, IF(G34&lt;E34,0,D34),IF(L34=1,IFERROR(ROUND(IF($G34 - (E34 * 6) &lt; 0, D34, ($G34 - (E34 * 6)) * $D$8 / 12),2),0) ) )</f>
        <v>20.4</v>
      </c>
      <c r="E35" s="231" t="n">
        <f aca="false">IF(ISERROR(A35), 0,  MAX(0,   MIN(    ROUND(G34 + D35, 2),    ROUND(FV($S$5, IF(type=1, A35, A34), , IF(J35&lt;&gt;1, -$D$20, -$P$16 + P35), 2), 0)   )  ) )</f>
        <v>17</v>
      </c>
      <c r="F35" s="231" t="str">
        <f aca="false">IF(J35&lt;&gt;1, "", IF(J34&lt;&gt;0, F34, $K$12))</f>
        <v/>
      </c>
      <c r="G35" s="232" t="n">
        <f aca="false">IF(ISERROR(A35),"",ROUND(G34-E35+D35,2))</f>
        <v>5011.63</v>
      </c>
      <c r="H35" s="233" t="n">
        <f aca="false">IF(G35&gt;0,IFERROR(H34+(H34*($D$16/12)),""),"")</f>
        <v>18.6179577720343</v>
      </c>
      <c r="I35" s="223" t="n">
        <f aca="false">IF(ISERROR(A36),"",12 - MONTH(B35))</f>
        <v>8</v>
      </c>
      <c r="J35" s="224" t="n">
        <f aca="false">K35</f>
        <v>0</v>
      </c>
      <c r="K35" s="225" t="n">
        <f aca="false">_xlfn.IFNA(IF(B35&gt;=$K$11, 1,0),0)</f>
        <v>0</v>
      </c>
      <c r="L35" s="60" t="str">
        <f aca="false">IF(I35=0,1,"")</f>
        <v/>
      </c>
      <c r="M35" s="251" t="s">
        <v>141</v>
      </c>
      <c r="N35" s="252" t="n">
        <f aca="false">IF(N37="single",O31,O32)</f>
        <v>32000</v>
      </c>
      <c r="O35" s="246" t="s">
        <v>142</v>
      </c>
      <c r="P35" s="4" t="n">
        <f aca="false">IF(AND(G35&gt;E35, A35&lt;&gt;0, V35&lt;&gt;0), $N$5 * ($P$22 ^ V35 - 1), 0)</f>
        <v>0</v>
      </c>
      <c r="Q35" s="253" t="s">
        <v>8</v>
      </c>
      <c r="R35" s="254"/>
      <c r="S35" s="255"/>
      <c r="T35" s="235"/>
      <c r="U35" s="236"/>
      <c r="V35" s="71" t="n">
        <f aca="false">IF(B35&lt;EDATE($K$11,12), 0,  DATEDIF(EDATE($K$11,12), B35 + 1, "y") + 1 )</f>
        <v>0</v>
      </c>
    </row>
    <row r="36" customFormat="false" ht="12.75" hidden="false" customHeight="true" outlineLevel="0" collapsed="false">
      <c r="A36" s="228" t="n">
        <f aca="false">IF(OR(G35="",G35&lt;=0,C35&gt;150),NA(),A35+1)</f>
        <v>8</v>
      </c>
      <c r="B36" s="229" t="n">
        <f aca="false">IF(ISERROR(A36),"",IF($D$9="Annually",EDATE(B35,12),EDATE(B35,1)))</f>
        <v>46535</v>
      </c>
      <c r="C36" s="230" t="n">
        <f aca="false">IF(ISERROR(A36),"",C35+IF($D$9="Monthly",1/12,1))</f>
        <v>61.7166666666667</v>
      </c>
      <c r="D36" s="231" t="n">
        <f aca="false">IF(L35&lt;&gt;1, IF(G35&lt;E35,0,D35),IF(L35=1,IFERROR(ROUND(IF($G35 - (E35 * 6) &lt; 0, D35, ($G35 - (E35 * 6)) * $D$8 / 12),2),0) ) )</f>
        <v>20.4</v>
      </c>
      <c r="E36" s="231" t="n">
        <f aca="false">IF(ISERROR(A36), 0,  MAX(0,   MIN(    ROUND(G35 + D36, 2),    ROUND(FV($S$5, IF(type=1, A36, A35), , IF(J36&lt;&gt;1, -$D$20, -$P$16 + P36), 2), 0)   )  ) )</f>
        <v>17</v>
      </c>
      <c r="F36" s="231" t="str">
        <f aca="false">IF(J36&lt;&gt;1, "", IF(J35&lt;&gt;0, F35, $K$12))</f>
        <v/>
      </c>
      <c r="G36" s="232" t="n">
        <f aca="false">IF(ISERROR(A36),"",ROUND(G35-E36+D36,2))</f>
        <v>5015.03</v>
      </c>
      <c r="H36" s="237" t="n">
        <f aca="false">IF(G36&gt;0,IFERROR(H35+(H35*($D$16/12)),""),"")</f>
        <v>18.6489877016543</v>
      </c>
      <c r="I36" s="223" t="n">
        <f aca="false">IF(ISERROR(A37),"",12 - MONTH(B36))</f>
        <v>7</v>
      </c>
      <c r="J36" s="224" t="n">
        <f aca="false">K36</f>
        <v>0</v>
      </c>
      <c r="K36" s="225" t="n">
        <f aca="false">_xlfn.IFNA(IF(B36&gt;=$K$11, 1,0),0)</f>
        <v>0</v>
      </c>
      <c r="L36" s="60" t="str">
        <f aca="false">IF(I36=0,1,"")</f>
        <v/>
      </c>
      <c r="M36" s="256" t="s">
        <v>143</v>
      </c>
      <c r="N36" s="257" t="s">
        <v>8</v>
      </c>
      <c r="O36" s="246"/>
      <c r="P36" s="4" t="n">
        <f aca="false">IF(AND(G36&gt;E36, A36&lt;&gt;0, V36&lt;&gt;0), $N$5 * ($P$22 ^ V36 - 1), 0)</f>
        <v>0</v>
      </c>
      <c r="Q36" s="253" t="s">
        <v>8</v>
      </c>
      <c r="R36" s="254"/>
      <c r="S36" s="255"/>
      <c r="T36" s="235"/>
      <c r="U36" s="236"/>
      <c r="V36" s="71" t="n">
        <f aca="false">IF(B36&lt;EDATE($K$11,12), 0,  DATEDIF(EDATE($K$11,12), B36 + 1, "y") + 1 )</f>
        <v>0</v>
      </c>
    </row>
    <row r="37" customFormat="false" ht="12.75" hidden="false" customHeight="true" outlineLevel="0" collapsed="false">
      <c r="A37" s="228" t="n">
        <f aca="false">IF(OR(G36="",G36&lt;=0,C36&gt;150),NA(),A36+1)</f>
        <v>9</v>
      </c>
      <c r="B37" s="229" t="n">
        <f aca="false">IF(ISERROR(A37),"",IF($D$9="Annually",EDATE(B36,12),EDATE(B36,1)))</f>
        <v>46566</v>
      </c>
      <c r="C37" s="230" t="n">
        <f aca="false">IF(ISERROR(A37),"",C36+IF($D$9="Monthly",1/12,1))</f>
        <v>61.8</v>
      </c>
      <c r="D37" s="231" t="n">
        <f aca="false">IF(L36&lt;&gt;1, IF(G36&lt;E36,0,D36),IF(L36=1,IFERROR(ROUND(IF($G36 - (E36 * 6) &lt; 0, D36, ($G36 - (E36 * 6)) * $D$8 / 12),2),0) ) )</f>
        <v>20.4</v>
      </c>
      <c r="E37" s="231" t="n">
        <f aca="false">IF(ISERROR(A37), 0,  MAX(0,   MIN(    ROUND(G36 + D37, 2),    ROUND(FV($S$5, IF(type=1, A37, A36), , IF(J37&lt;&gt;1, -$D$20, -$P$16 + P37), 2), 0)   )  ) )</f>
        <v>17</v>
      </c>
      <c r="F37" s="231" t="str">
        <f aca="false">IF(J37&lt;&gt;1, "", IF(J36&lt;&gt;0, F36, $K$12))</f>
        <v/>
      </c>
      <c r="G37" s="232" t="n">
        <f aca="false">IF(ISERROR(A37),"",ROUND(G36-E37+D37,2))</f>
        <v>5018.43</v>
      </c>
      <c r="H37" s="233" t="n">
        <f aca="false">IF(G37&gt;0,IFERROR(H36+(H36*($D$16/12)),""),"")</f>
        <v>18.6800693478237</v>
      </c>
      <c r="I37" s="223" t="n">
        <f aca="false">IF(ISERROR(A38),"",12 - MONTH(B37))</f>
        <v>6</v>
      </c>
      <c r="J37" s="224" t="n">
        <f aca="false">K37</f>
        <v>0</v>
      </c>
      <c r="K37" s="225" t="n">
        <f aca="false">_xlfn.IFNA(IF(B37&gt;=$K$11, 1,0),0)</f>
        <v>0</v>
      </c>
      <c r="L37" s="60" t="str">
        <f aca="false">IF(I37=0,1,"")</f>
        <v/>
      </c>
      <c r="M37" s="258" t="s">
        <v>144</v>
      </c>
      <c r="N37" s="259" t="s">
        <v>81</v>
      </c>
      <c r="O37" s="28" t="s">
        <v>145</v>
      </c>
      <c r="P37" s="4" t="n">
        <f aca="false">IF(AND(G37&gt;E37, A37&lt;&gt;0, V37&lt;&gt;0), $N$5 * ($P$22 ^ V37 - 1), 0)</f>
        <v>0</v>
      </c>
      <c r="Q37" s="260" t="n">
        <v>0</v>
      </c>
      <c r="R37" s="261"/>
      <c r="S37" s="262"/>
      <c r="T37" s="263"/>
      <c r="U37" s="75"/>
      <c r="V37" s="71" t="n">
        <f aca="false">IF(B37&lt;EDATE($K$11,12), 0,  DATEDIF(EDATE($K$11,12), B37 + 1, "y") + 1 )</f>
        <v>0</v>
      </c>
    </row>
    <row r="38" customFormat="false" ht="12.75" hidden="false" customHeight="true" outlineLevel="0" collapsed="false">
      <c r="A38" s="228" t="n">
        <f aca="false">IF(OR(G37="",G37&lt;=0,C37&gt;150),NA(),A37+1)</f>
        <v>10</v>
      </c>
      <c r="B38" s="229" t="n">
        <f aca="false">IF(ISERROR(A38),"",IF($D$9="Annually",EDATE(B37,12),EDATE(B37,1)))</f>
        <v>46596</v>
      </c>
      <c r="C38" s="230" t="n">
        <f aca="false">IF(ISERROR(A38),"",C37+IF($D$9="Monthly",1/12,1))</f>
        <v>61.8833333333334</v>
      </c>
      <c r="D38" s="231" t="n">
        <f aca="false">IF(L37&lt;&gt;1, IF(G37&lt;E37,0,D37),IF(L37=1,IFERROR(ROUND(IF($G37 - (E37 * 6) &lt; 0, D37, ($G37 - (E37 * 6)) * $D$8 / 12),2),0) ) )</f>
        <v>20.4</v>
      </c>
      <c r="E38" s="231" t="n">
        <f aca="false">IF(ISERROR(A38), 0,  MAX(0,   MIN(    ROUND(G37 + D38, 2),    ROUND(FV($S$5, IF(type=1, A38, A37), , IF(J38&lt;&gt;1, -$D$20, -$P$16 + P38), 2), 0)   )  ) )</f>
        <v>17</v>
      </c>
      <c r="F38" s="231" t="str">
        <f aca="false">IF(J38&lt;&gt;1, "", IF(J37&lt;&gt;0, F37, $K$12))</f>
        <v/>
      </c>
      <c r="G38" s="232" t="n">
        <f aca="false">IF(ISERROR(A38),"",ROUND(G37-E38+D38,2))</f>
        <v>5021.83</v>
      </c>
      <c r="H38" s="237" t="n">
        <f aca="false">IF(G38&gt;0,IFERROR(H37+(H37*($D$16/12)),""),"")</f>
        <v>18.7112027967368</v>
      </c>
      <c r="I38" s="223" t="n">
        <f aca="false">IF(ISERROR(A39),"",12 - MONTH(B38))</f>
        <v>5</v>
      </c>
      <c r="J38" s="224" t="n">
        <f aca="false">K38</f>
        <v>0</v>
      </c>
      <c r="K38" s="225" t="n">
        <f aca="false">_xlfn.IFNA(IF(B38&gt;=$K$11, 1,0),0)</f>
        <v>0</v>
      </c>
      <c r="L38" s="60" t="str">
        <f aca="false">IF(I38=0,1,"")</f>
        <v/>
      </c>
      <c r="M38" s="264" t="s">
        <v>146</v>
      </c>
      <c r="N38" s="265" t="n">
        <f aca="false">N5*12</f>
        <v>0</v>
      </c>
      <c r="O38" s="266" t="s">
        <v>147</v>
      </c>
      <c r="P38" s="4" t="n">
        <f aca="false">IF(AND(G38&gt;E38, A38&lt;&gt;0, V38&lt;&gt;0), $N$5 * ($P$22 ^ V38 - 1), 0)</f>
        <v>0</v>
      </c>
      <c r="Q38" s="260" t="n">
        <v>0</v>
      </c>
      <c r="R38" s="261"/>
      <c r="S38" s="262"/>
      <c r="T38" s="263"/>
      <c r="U38" s="75"/>
      <c r="V38" s="71" t="n">
        <f aca="false">IF(B38&lt;EDATE($K$11,12), 0,  DATEDIF(EDATE($K$11,12), B38 + 1, "y") + 1 )</f>
        <v>0</v>
      </c>
    </row>
    <row r="39" customFormat="false" ht="12.75" hidden="false" customHeight="true" outlineLevel="0" collapsed="false">
      <c r="A39" s="228" t="n">
        <f aca="false">IF(OR(G38="",G38&lt;=0,C38&gt;150),NA(),A38+1)</f>
        <v>11</v>
      </c>
      <c r="B39" s="229" t="n">
        <f aca="false">IF(ISERROR(A39),"",IF($D$9="Annually",EDATE(B38,12),EDATE(B38,1)))</f>
        <v>46627</v>
      </c>
      <c r="C39" s="230" t="n">
        <f aca="false">IF(ISERROR(A39),"",C38+IF($D$9="Monthly",1/12,1))</f>
        <v>61.9666666666667</v>
      </c>
      <c r="D39" s="231" t="n">
        <f aca="false">IF(L38&lt;&gt;1, IF(G38&lt;E38,0,D38),IF(L38=1,IFERROR(ROUND(IF($G38 - (E38 * 6) &lt; 0, D38, ($G38 - (E38 * 6)) * $D$8 / 12),2),0) ) )</f>
        <v>20.4</v>
      </c>
      <c r="E39" s="231" t="n">
        <f aca="false">IF(ISERROR(A39), 0,  MAX(0,   MIN(    ROUND(G38 + D39, 2),    ROUND(FV($S$5, IF(type=1, A39, A38), , IF(J39&lt;&gt;1, -$D$20, -$P$16 + P39), 2), 0)   )  ) )</f>
        <v>18</v>
      </c>
      <c r="F39" s="231" t="str">
        <f aca="false">IF(J39&lt;&gt;1, "", IF(J38&lt;&gt;0, F38, $K$12))</f>
        <v/>
      </c>
      <c r="G39" s="232" t="n">
        <f aca="false">IF(ISERROR(A39),"",ROUND(G38-E39+D39,2))</f>
        <v>5024.23</v>
      </c>
      <c r="H39" s="233" t="n">
        <f aca="false">IF(G39&gt;0,IFERROR(H38+(H38*($D$16/12)),""),"")</f>
        <v>18.7423881347313</v>
      </c>
      <c r="I39" s="223" t="n">
        <f aca="false">IF(ISERROR(A40),"",12 - MONTH(B39))</f>
        <v>4</v>
      </c>
      <c r="J39" s="224" t="n">
        <f aca="false">K39</f>
        <v>0</v>
      </c>
      <c r="K39" s="225" t="n">
        <f aca="false">_xlfn.IFNA(IF(B39&gt;=$K$11, 1,0),0)</f>
        <v>0</v>
      </c>
      <c r="L39" s="60" t="str">
        <f aca="false">IF(I39=0,1,"")</f>
        <v/>
      </c>
      <c r="M39" s="264" t="s">
        <v>148</v>
      </c>
      <c r="N39" s="267" t="n">
        <v>0</v>
      </c>
      <c r="O39" s="266" t="s">
        <v>149</v>
      </c>
      <c r="P39" s="4" t="n">
        <f aca="false">IF(AND(G39&gt;E39, A39&lt;&gt;0, V39&lt;&gt;0), $N$5 * ($P$22 ^ V39 - 1), 0)</f>
        <v>0</v>
      </c>
      <c r="Q39" s="253" t="n">
        <v>0</v>
      </c>
      <c r="R39" s="261"/>
      <c r="S39" s="262"/>
      <c r="T39" s="86"/>
      <c r="U39" s="75"/>
      <c r="V39" s="71" t="n">
        <f aca="false">IF(B39&lt;EDATE($K$11,12), 0,  DATEDIF(EDATE($K$11,12), B39 + 1, "y") + 1 )</f>
        <v>0</v>
      </c>
    </row>
    <row r="40" customFormat="false" ht="12.75" hidden="false" customHeight="true" outlineLevel="0" collapsed="false">
      <c r="A40" s="228" t="n">
        <f aca="false">IF(OR(G39="",G39&lt;=0,C39&gt;150),NA(),A39+1)</f>
        <v>12</v>
      </c>
      <c r="B40" s="229" t="n">
        <f aca="false">IF(ISERROR(A40),"",IF($D$9="Annually",EDATE(B39,12),EDATE(B39,1)))</f>
        <v>46658</v>
      </c>
      <c r="C40" s="230" t="n">
        <f aca="false">IF(ISERROR(A40),"",C39+IF($D$9="Monthly",1/12,1))</f>
        <v>62.05</v>
      </c>
      <c r="D40" s="231" t="n">
        <f aca="false">IF(L39&lt;&gt;1, IF(G39&lt;E39,0,D39),IF(L39=1,IFERROR(ROUND(IF($G39 - (E39 * 6) &lt; 0, D39, ($G39 - (E39 * 6)) * $D$8 / 12),2),0) ) )</f>
        <v>20.4</v>
      </c>
      <c r="E40" s="231" t="n">
        <f aca="false">IF(ISERROR(A40), 0,  MAX(0,   MIN(    ROUND(G39 + D40, 2),    ROUND(FV($S$5, IF(type=1, A40, A39), , IF(J40&lt;&gt;1, -$D$20, -$P$16 + P40), 2), 0)   )  ) )</f>
        <v>18</v>
      </c>
      <c r="F40" s="231" t="str">
        <f aca="false">IF(J40&lt;&gt;1, "", IF(J39&lt;&gt;0, F39, $K$12))</f>
        <v/>
      </c>
      <c r="G40" s="232" t="n">
        <f aca="false">IF(ISERROR(A40),"",ROUND(G39-E40+D40,2))</f>
        <v>5026.63</v>
      </c>
      <c r="H40" s="237" t="n">
        <f aca="false">IF(G40&gt;0,IFERROR(H39+(H39*($D$16/12)),""),"")</f>
        <v>18.7736254482892</v>
      </c>
      <c r="I40" s="223" t="n">
        <f aca="false">IF(ISERROR(A41),"",12 - MONTH(B40))</f>
        <v>3</v>
      </c>
      <c r="J40" s="224" t="n">
        <f aca="false">K40</f>
        <v>0</v>
      </c>
      <c r="K40" s="225" t="n">
        <f aca="false">_xlfn.IFNA(IF(B40&gt;=$K$11, 1,0),0)</f>
        <v>0</v>
      </c>
      <c r="L40" s="60" t="str">
        <f aca="false">IF(I40=0,1,"")</f>
        <v/>
      </c>
      <c r="M40" s="268" t="s">
        <v>150</v>
      </c>
      <c r="N40" s="269" t="n">
        <v>0</v>
      </c>
      <c r="O40" s="266" t="s">
        <v>151</v>
      </c>
      <c r="P40" s="4" t="n">
        <f aca="false">IF(AND(G40&gt;E40, A40&lt;&gt;0, V40&lt;&gt;0), $N$5 * ($P$22 ^ V40 - 1), 0)</f>
        <v>0</v>
      </c>
      <c r="Q40" s="253" t="n">
        <v>0</v>
      </c>
      <c r="R40" s="261"/>
      <c r="S40" s="262"/>
      <c r="T40" s="86"/>
      <c r="U40" s="75"/>
      <c r="V40" s="71" t="n">
        <f aca="false">IF(B40&lt;EDATE($K$11,12), 0,  DATEDIF(EDATE($K$11,12), B40 + 1, "y") + 1 )</f>
        <v>0</v>
      </c>
    </row>
    <row r="41" customFormat="false" ht="12.75" hidden="false" customHeight="true" outlineLevel="0" collapsed="false">
      <c r="A41" s="228" t="n">
        <f aca="false">IF(OR(G40="",G40&lt;=0,C40&gt;150),NA(),A40+1)</f>
        <v>13</v>
      </c>
      <c r="B41" s="229" t="n">
        <f aca="false">IF(ISERROR(A41),"",IF($D$9="Annually",EDATE(B40,12),EDATE(B40,1)))</f>
        <v>46688</v>
      </c>
      <c r="C41" s="230" t="n">
        <f aca="false">IF(ISERROR(A41),"",C40+IF($D$9="Monthly",1/12,1))</f>
        <v>62.1333333333334</v>
      </c>
      <c r="D41" s="231" t="n">
        <f aca="false">IF(L40&lt;&gt;1, IF(G40&lt;E40,0,D40),IF(L40=1,IFERROR(ROUND(IF($G40 - (E40 * 6) &lt; 0, D40, ($G40 - (E40 * 6)) * $D$8 / 12),2),0) ) )</f>
        <v>20.4</v>
      </c>
      <c r="E41" s="231" t="n">
        <f aca="false">IF(ISERROR(A41), 0,  MAX(0,   MIN(    ROUND(G40 + D41, 2),    ROUND(FV($S$5, IF(type=1, A41, A40), , IF(J41&lt;&gt;1, -$D$20, -$P$16 + P41), 2), 0)   )  ) )</f>
        <v>18</v>
      </c>
      <c r="F41" s="231" t="str">
        <f aca="false">IF(J41&lt;&gt;1, "", IF(J40&lt;&gt;0, F40, $K$12))</f>
        <v/>
      </c>
      <c r="G41" s="232" t="n">
        <f aca="false">IF(ISERROR(A41),"",ROUND(G40-E41+D41,2))</f>
        <v>5029.03</v>
      </c>
      <c r="H41" s="233" t="n">
        <f aca="false">IF(G41&gt;0,IFERROR(H40+(H40*($D$16/12)),""),"")</f>
        <v>18.8049148240364</v>
      </c>
      <c r="I41" s="223" t="n">
        <f aca="false">IF(ISERROR(A42),"",12 - MONTH(B41))</f>
        <v>2</v>
      </c>
      <c r="J41" s="224" t="n">
        <f aca="false">K41</f>
        <v>0</v>
      </c>
      <c r="K41" s="225" t="n">
        <f aca="false">_xlfn.IFNA(IF(B41&gt;=$K$11, 1,0),0)</f>
        <v>0</v>
      </c>
      <c r="L41" s="60" t="str">
        <f aca="false">IF(I41=0,1,"")</f>
        <v/>
      </c>
      <c r="M41" s="268" t="s">
        <v>152</v>
      </c>
      <c r="N41" s="269" t="n">
        <v>0</v>
      </c>
      <c r="O41" s="266" t="s">
        <v>153</v>
      </c>
      <c r="P41" s="4" t="n">
        <f aca="false">IF(AND(G41&gt;E41, A41&lt;&gt;0, V41&lt;&gt;0), $N$5 * ($P$22 ^ V41 - 1), 0)</f>
        <v>0</v>
      </c>
      <c r="Q41" s="270" t="n">
        <f aca="false">(('Bond ladder Form'!F13))-(('Bond ladder Form'!F13))</f>
        <v>0</v>
      </c>
      <c r="R41" s="261"/>
      <c r="S41" s="262"/>
      <c r="T41" s="263"/>
      <c r="U41" s="75"/>
      <c r="V41" s="71" t="n">
        <f aca="false">IF(B41&lt;EDATE($K$11,12), 0,  DATEDIF(EDATE($K$11,12), B41 + 1, "y") + 1 )</f>
        <v>0</v>
      </c>
    </row>
    <row r="42" customFormat="false" ht="12.75" hidden="false" customHeight="true" outlineLevel="0" collapsed="false">
      <c r="A42" s="228" t="n">
        <f aca="false">IF(OR(G41="",G41&lt;=0,C41&gt;150),NA(),A41+1)</f>
        <v>14</v>
      </c>
      <c r="B42" s="229" t="n">
        <f aca="false">IF(ISERROR(A42),"",IF($D$9="Annually",EDATE(B41,12),EDATE(B41,1)))</f>
        <v>46719</v>
      </c>
      <c r="C42" s="230" t="n">
        <f aca="false">IF(ISERROR(A42),"",C41+IF($D$9="Monthly",1/12,1))</f>
        <v>62.2166666666667</v>
      </c>
      <c r="D42" s="231" t="n">
        <f aca="false">IF(L41&lt;&gt;1, IF(G41&lt;E41,0,D41),IF(L41=1,IFERROR(ROUND(IF($G41 - (E41 * 6) &lt; 0, D41, ($G41 - (E41 * 6)) * $D$8 / 12),2),0) ) )</f>
        <v>20.4</v>
      </c>
      <c r="E42" s="231" t="n">
        <f aca="false">IF(ISERROR(A42), 0,  MAX(0,   MIN(    ROUND(G41 + D42, 2),    ROUND(FV($S$5, IF(type=1, A42, A41), , IF(J42&lt;&gt;1, -$D$20, -$P$16 + P42), 2), 0)   )  ) )</f>
        <v>18</v>
      </c>
      <c r="F42" s="231" t="str">
        <f aca="false">IF(J42&lt;&gt;1, "", IF(J41&lt;&gt;0, F41, $K$12))</f>
        <v/>
      </c>
      <c r="G42" s="232" t="n">
        <f aca="false">IF(ISERROR(A42),"",ROUND(G41-E42+D42,2))</f>
        <v>5031.43</v>
      </c>
      <c r="H42" s="237" t="n">
        <f aca="false">IF(G42&gt;0,IFERROR(H41+(H41*($D$16/12)),""),"")</f>
        <v>18.8362563487431</v>
      </c>
      <c r="I42" s="223" t="n">
        <f aca="false">IF(ISERROR(A43),"",12 - MONTH(B42))</f>
        <v>1</v>
      </c>
      <c r="J42" s="224" t="n">
        <f aca="false">K42</f>
        <v>0</v>
      </c>
      <c r="K42" s="225" t="n">
        <f aca="false">_xlfn.IFNA(IF(B42&gt;=$K$11, 1,0),0)</f>
        <v>0</v>
      </c>
      <c r="L42" s="60" t="str">
        <f aca="false">IF(I42=0,1,"")</f>
        <v/>
      </c>
      <c r="M42" s="264" t="s">
        <v>154</v>
      </c>
      <c r="N42" s="265" t="n">
        <f aca="false">IFERROR( IF(T2="Yes", SUM((((D10+K12)*(D14+D15))+(D10+K12))+(SUM(Q35:Q47)/12))*12, (D5 * D8) + SUM(Q35:Q47)),0)</f>
        <v>220.32</v>
      </c>
      <c r="O42" s="28" t="s">
        <v>8</v>
      </c>
      <c r="P42" s="4" t="n">
        <f aca="false">IF(AND(G42&gt;E42, A42&lt;&gt;0, V42&lt;&gt;0), $N$5 * ($P$22 ^ V42 - 1), 0)</f>
        <v>0</v>
      </c>
      <c r="Q42" s="253" t="n">
        <v>0</v>
      </c>
      <c r="R42" s="261"/>
      <c r="S42" s="262"/>
      <c r="T42" s="263"/>
      <c r="U42" s="75"/>
      <c r="V42" s="71" t="n">
        <f aca="false">IF(B42&lt;EDATE($K$11,12), 0,  DATEDIF(EDATE($K$11,12), B42 + 1, "y") + 1 )</f>
        <v>0</v>
      </c>
    </row>
    <row r="43" customFormat="false" ht="12.75" hidden="false" customHeight="true" outlineLevel="0" collapsed="false">
      <c r="A43" s="228" t="n">
        <f aca="false">IF(OR(G42="",G42&lt;=0,C42&gt;150),NA(),A42+1)</f>
        <v>15</v>
      </c>
      <c r="B43" s="229" t="n">
        <f aca="false">IF(ISERROR(A43),"",IF($D$9="Annually",EDATE(B42,12),EDATE(B42,1)))</f>
        <v>46749</v>
      </c>
      <c r="C43" s="230" t="n">
        <f aca="false">IF(ISERROR(A43),"",C42+IF($D$9="Monthly",1/12,1))</f>
        <v>62.3</v>
      </c>
      <c r="D43" s="231" t="n">
        <f aca="false">IF(L42&lt;&gt;1, IF(G42&lt;E42,0,D42),IF(L42=1,IFERROR(ROUND(IF($G42 - (E42 * 6) &lt; 0, D42, ($G42 - (E42 * 6)) * $D$8 / 12),2),0) ) )</f>
        <v>20.4</v>
      </c>
      <c r="E43" s="231" t="n">
        <f aca="false">IF(ISERROR(A43), 0,  MAX(0,   MIN(    ROUND(G42 + D43, 2),    ROUND(FV($S$5, IF(type=1, A43, A42), , IF(J43&lt;&gt;1, -$D$20, -$P$16 + P43), 2), 0)   )  ) )</f>
        <v>18</v>
      </c>
      <c r="F43" s="231" t="str">
        <f aca="false">IF(J43&lt;&gt;1, "", IF(J42&lt;&gt;0, F42, $K$12))</f>
        <v/>
      </c>
      <c r="G43" s="232" t="n">
        <f aca="false">IF(ISERROR(A43),"",ROUND(G42-E43+D43,2))</f>
        <v>5033.83</v>
      </c>
      <c r="H43" s="233" t="n">
        <f aca="false">IF(G43&gt;0,IFERROR(H42+(H42*($D$16/12)),""),"")</f>
        <v>18.8676501093243</v>
      </c>
      <c r="I43" s="223" t="n">
        <f aca="false">IF(ISERROR(A44),"",12 - MONTH(B43))</f>
        <v>0</v>
      </c>
      <c r="J43" s="224" t="n">
        <f aca="false">K43</f>
        <v>0</v>
      </c>
      <c r="K43" s="225" t="n">
        <f aca="false">_xlfn.IFNA(IF(B43&gt;=$K$11, 1,0),0)</f>
        <v>0</v>
      </c>
      <c r="L43" s="60" t="n">
        <f aca="false">IF(I43=0,1,"")</f>
        <v>1</v>
      </c>
      <c r="M43" s="264" t="s">
        <v>155</v>
      </c>
      <c r="N43" s="271" t="n">
        <f aca="false">SUM(N38:N42)</f>
        <v>220.32</v>
      </c>
      <c r="O43" s="29" t="s">
        <v>8</v>
      </c>
      <c r="P43" s="4" t="n">
        <f aca="false">IF(AND(G43&gt;E43, A43&lt;&gt;0, V43&lt;&gt;0), $N$5 * ($P$22 ^ V43 - 1), 0)</f>
        <v>0</v>
      </c>
      <c r="Q43" s="253" t="n">
        <v>0</v>
      </c>
      <c r="R43" s="71"/>
      <c r="S43" s="234"/>
      <c r="T43" s="272"/>
      <c r="U43" s="75"/>
      <c r="V43" s="71" t="n">
        <f aca="false">IF(B43&lt;EDATE($K$11,12), 0,  DATEDIF(EDATE($K$11,12), B43 + 1, "y") + 1 )</f>
        <v>0</v>
      </c>
    </row>
    <row r="44" customFormat="false" ht="12.75" hidden="false" customHeight="true" outlineLevel="0" collapsed="false">
      <c r="A44" s="228" t="n">
        <f aca="false">IF(OR(G43="",G43&lt;=0,C43&gt;150),NA(),A43+1)</f>
        <v>16</v>
      </c>
      <c r="B44" s="229" t="n">
        <f aca="false">IF(ISERROR(A44),"",IF($D$9="Annually",EDATE(B43,12),EDATE(B43,1)))</f>
        <v>46780</v>
      </c>
      <c r="C44" s="230" t="n">
        <f aca="false">IF(ISERROR(A44),"",C43+IF($D$9="Monthly",1/12,1))</f>
        <v>62.3833333333334</v>
      </c>
      <c r="D44" s="231" t="n">
        <f aca="false">IF(L43&lt;&gt;1, IF(G43&lt;E43,0,D43),IF(L43=1,IFERROR(ROUND(IF($G43 - (E43 * 6) &lt; 0, D43, ($G43 - (E43 * 6)) * $D$8 / 12),2),0) ) )</f>
        <v>20.52</v>
      </c>
      <c r="E44" s="231" t="n">
        <f aca="false">IF(ISERROR(A44), 0,  MAX(0,   MIN(    ROUND(G43 + D44, 2),    ROUND(FV($S$5, IF(type=1, A44, A43), , IF(J44&lt;&gt;1, -$D$20, -$P$16 + P44), 2), 0)   )  ) )</f>
        <v>18</v>
      </c>
      <c r="F44" s="231" t="str">
        <f aca="false">IF(J44&lt;&gt;1, "", IF(J43&lt;&gt;0, F43, $K$12))</f>
        <v/>
      </c>
      <c r="G44" s="232" t="n">
        <f aca="false">IF(ISERROR(A44),"",ROUND(G43-E44+D44,2))</f>
        <v>5036.35</v>
      </c>
      <c r="H44" s="237" t="n">
        <f aca="false">IF(G44&gt;0,IFERROR(H43+(H43*($D$16/12)),""),"")</f>
        <v>18.8990961928399</v>
      </c>
      <c r="I44" s="223" t="n">
        <f aca="false">IF(ISERROR(A45),"",12 - MONTH(B44))</f>
        <v>11</v>
      </c>
      <c r="J44" s="224" t="n">
        <f aca="false">K44</f>
        <v>0</v>
      </c>
      <c r="K44" s="225" t="n">
        <f aca="false">_xlfn.IFNA(IF(B44&gt;=$K$11, 1,0),0)</f>
        <v>0</v>
      </c>
      <c r="L44" s="60" t="str">
        <f aca="false">IF(I44=0,1,"")</f>
        <v/>
      </c>
      <c r="M44" s="264" t="s">
        <v>156</v>
      </c>
      <c r="N44" s="271" t="n">
        <f aca="false">(SUM((N38+N40)/2)+N39+N41+N42)</f>
        <v>220.32</v>
      </c>
      <c r="O44" s="266" t="s">
        <v>157</v>
      </c>
      <c r="P44" s="4" t="n">
        <f aca="false">IF(AND(G44&gt;E44, A44&lt;&gt;0, V44&lt;&gt;0), $N$5 * ($P$22 ^ V44 - 1), 0)</f>
        <v>0</v>
      </c>
      <c r="Q44" s="267" t="n">
        <v>0</v>
      </c>
      <c r="R44" s="261"/>
      <c r="S44" s="262"/>
      <c r="T44" s="86"/>
      <c r="U44" s="75"/>
      <c r="V44" s="71" t="n">
        <f aca="false">IF(B44&lt;EDATE($K$11,12), 0,  DATEDIF(EDATE($K$11,12), B44 + 1, "y") + 1 )</f>
        <v>0</v>
      </c>
    </row>
    <row r="45" customFormat="false" ht="12.75" hidden="false" customHeight="true" outlineLevel="0" collapsed="false">
      <c r="A45" s="228" t="n">
        <f aca="false">IF(OR(G44="",G44&lt;=0,C44&gt;150),NA(),A44+1)</f>
        <v>17</v>
      </c>
      <c r="B45" s="229" t="n">
        <f aca="false">IF(ISERROR(A45),"",IF($D$9="Annually",EDATE(B44,12),EDATE(B44,1)))</f>
        <v>46811</v>
      </c>
      <c r="C45" s="230" t="n">
        <f aca="false">IF(ISERROR(A45),"",C44+IF($D$9="Monthly",1/12,1))</f>
        <v>62.4666666666667</v>
      </c>
      <c r="D45" s="231" t="n">
        <f aca="false">IF(L44&lt;&gt;1, IF(G44&lt;E44,0,D44),IF(L44=1,IFERROR(ROUND(IF($G44 - (E44 * 6) &lt; 0, D44, ($G44 - (E44 * 6)) * $D$8 / 12),2),0) ) )</f>
        <v>20.52</v>
      </c>
      <c r="E45" s="231" t="n">
        <f aca="false">IF(ISERROR(A45), 0,  MAX(0,   MIN(    ROUND(G44 + D45, 2),    ROUND(FV($S$5, IF(type=1, A45, A44), , IF(J45&lt;&gt;1, -$D$20, -$P$16 + P45), 2), 0)   )  ) )</f>
        <v>18</v>
      </c>
      <c r="F45" s="231" t="str">
        <f aca="false">IF(J45&lt;&gt;1, "", IF(J44&lt;&gt;0, F44, $K$12))</f>
        <v/>
      </c>
      <c r="G45" s="232" t="n">
        <f aca="false">IF(ISERROR(A45),"",ROUND(G44-E45+D45,2))</f>
        <v>5038.87</v>
      </c>
      <c r="H45" s="233" t="n">
        <f aca="false">IF(G45&gt;0,IFERROR(H44+(H44*($D$16/12)),""),"")</f>
        <v>18.9305946864946</v>
      </c>
      <c r="I45" s="223" t="n">
        <f aca="false">IF(ISERROR(A46),"",12 - MONTH(B45))</f>
        <v>10</v>
      </c>
      <c r="J45" s="224" t="n">
        <f aca="false">K45</f>
        <v>0</v>
      </c>
      <c r="K45" s="225" t="n">
        <f aca="false">_xlfn.IFNA(IF(B45&gt;=$K$11, 1,0),0)</f>
        <v>0</v>
      </c>
      <c r="L45" s="60" t="str">
        <f aca="false">IF(I45=0,1,"")</f>
        <v/>
      </c>
      <c r="M45" s="264" t="s">
        <v>158</v>
      </c>
      <c r="N45" s="267" t="s">
        <v>159</v>
      </c>
      <c r="O45" s="266" t="s">
        <v>157</v>
      </c>
      <c r="P45" s="4" t="n">
        <f aca="false">IF(AND(G45&gt;E45, A45&lt;&gt;0, V45&lt;&gt;0), $N$5 * ($P$22 ^ V45 - 1), 0)</f>
        <v>0</v>
      </c>
      <c r="Q45" s="273"/>
      <c r="T45" s="91"/>
      <c r="U45" s="75"/>
      <c r="V45" s="71" t="n">
        <f aca="false">IF(B45&lt;EDATE($K$11,12), 0,  DATEDIF(EDATE($K$11,12), B45 + 1, "y") + 1 )</f>
        <v>0</v>
      </c>
    </row>
    <row r="46" customFormat="false" ht="12.75" hidden="false" customHeight="true" outlineLevel="0" collapsed="false">
      <c r="A46" s="228" t="n">
        <f aca="false">IF(OR(G45="",G45&lt;=0,C45&gt;150),NA(),A45+1)</f>
        <v>18</v>
      </c>
      <c r="B46" s="229" t="n">
        <f aca="false">IF(ISERROR(A46),"",IF($D$9="Annually",EDATE(B45,12),EDATE(B45,1)))</f>
        <v>46840</v>
      </c>
      <c r="C46" s="230" t="n">
        <f aca="false">IF(ISERROR(A46),"",C45+IF($D$9="Monthly",1/12,1))</f>
        <v>62.5500000000001</v>
      </c>
      <c r="D46" s="231" t="n">
        <f aca="false">IF(L45&lt;&gt;1, IF(G45&lt;E45,0,D45),IF(L45=1,IFERROR(ROUND(IF($G45 - (E45 * 6) &lt; 0, D45, ($G45 - (E45 * 6)) * $D$8 / 12),2),0) ) )</f>
        <v>20.52</v>
      </c>
      <c r="E46" s="231" t="n">
        <f aca="false">IF(ISERROR(A46), 0,  MAX(0,   MIN(    ROUND(G45 + D46, 2),    ROUND(FV($S$5, IF(type=1, A46, A45), , IF(J46&lt;&gt;1, -$D$20, -$P$16 + P46), 2), 0)   )  ) )</f>
        <v>18</v>
      </c>
      <c r="F46" s="231" t="str">
        <f aca="false">IF(J46&lt;&gt;1, "", IF(J45&lt;&gt;0, F45, $K$12))</f>
        <v/>
      </c>
      <c r="G46" s="232" t="n">
        <f aca="false">IF(ISERROR(A46),"",ROUND(G45-E46+D46,2))</f>
        <v>5041.39</v>
      </c>
      <c r="H46" s="237" t="n">
        <f aca="false">IF(G46&gt;0,IFERROR(H45+(H45*($D$16/12)),""),"")</f>
        <v>18.9621456776388</v>
      </c>
      <c r="I46" s="223" t="n">
        <f aca="false">IF(ISERROR(A47),"",12 - MONTH(B46))</f>
        <v>9</v>
      </c>
      <c r="J46" s="224" t="n">
        <f aca="false">K46</f>
        <v>0</v>
      </c>
      <c r="K46" s="225" t="n">
        <f aca="false">_xlfn.IFNA(IF(B46&gt;=$K$11, 1,0),0)</f>
        <v>0</v>
      </c>
      <c r="L46" s="60" t="str">
        <f aca="false">IF(I46=0,1,"")</f>
        <v/>
      </c>
      <c r="M46" s="264" t="s">
        <v>160</v>
      </c>
      <c r="N46" s="271" t="n">
        <f aca="false">IF(N45="No",0,IF(OR(N39&lt;$Q$26,N38&lt;1),"0",IF(N39&lt;=$Q$26,"0",(SUM(N39-$Q$26)/2))))+T49</f>
        <v>0</v>
      </c>
      <c r="O46" s="266" t="s">
        <v>157</v>
      </c>
      <c r="P46" s="4" t="n">
        <f aca="false">IF(AND(G46&gt;E46, A46&lt;&gt;0, V46&lt;&gt;0), $N$5 * ($P$22 ^ V46 - 1), 0)</f>
        <v>0</v>
      </c>
      <c r="Q46" s="273"/>
      <c r="T46" s="91"/>
      <c r="U46" s="75"/>
      <c r="V46" s="71" t="n">
        <f aca="false">IF(B46&lt;EDATE($K$11,12), 0,  DATEDIF(EDATE($K$11,12), B46 + 1, "y") + 1 )</f>
        <v>0</v>
      </c>
    </row>
    <row r="47" customFormat="false" ht="12.75" hidden="false" customHeight="true" outlineLevel="0" collapsed="false">
      <c r="A47" s="228" t="n">
        <f aca="false">IF(OR(G46="",G46&lt;=0,C46&gt;150),NA(),A46+1)</f>
        <v>19</v>
      </c>
      <c r="B47" s="229" t="n">
        <f aca="false">IF(ISERROR(A47),"",IF($D$9="Annually",EDATE(B46,12),EDATE(B46,1)))</f>
        <v>46871</v>
      </c>
      <c r="C47" s="230" t="n">
        <f aca="false">IF(ISERROR(A47),"",C46+IF($D$9="Monthly",1/12,1))</f>
        <v>62.6333333333334</v>
      </c>
      <c r="D47" s="231" t="n">
        <f aca="false">IF(L46&lt;&gt;1, IF(G46&lt;E46,0,D46),IF(L46=1,IFERROR(ROUND(IF($G46 - (E46 * 6) &lt; 0, D46, ($G46 - (E46 * 6)) * $D$8 / 12),2),0) ) )</f>
        <v>20.52</v>
      </c>
      <c r="E47" s="231" t="n">
        <f aca="false">IF(ISERROR(A47), 0,  MAX(0,   MIN(    ROUND(G46 + D47, 2),    ROUND(FV($S$5, IF(type=1, A47, A46), , IF(J47&lt;&gt;1, -$D$20, -$P$16 + P47), 2), 0)   )  ) )</f>
        <v>18</v>
      </c>
      <c r="F47" s="231" t="str">
        <f aca="false">IF(J47&lt;&gt;1, "", IF(J46&lt;&gt;0, F46, $K$12))</f>
        <v/>
      </c>
      <c r="G47" s="232" t="n">
        <f aca="false">IF(ISERROR(A47),"",ROUND(G46-E47+D47,2))</f>
        <v>5043.91</v>
      </c>
      <c r="H47" s="233" t="n">
        <f aca="false">IF(G47&gt;0,IFERROR(H46+(H46*($D$16/12)),""),"")</f>
        <v>18.9937492537682</v>
      </c>
      <c r="I47" s="223" t="n">
        <f aca="false">IF(ISERROR(A48),"",12 - MONTH(B47))</f>
        <v>8</v>
      </c>
      <c r="J47" s="224" t="n">
        <f aca="false">K47</f>
        <v>0</v>
      </c>
      <c r="K47" s="225" t="n">
        <f aca="false">_xlfn.IFNA(IF(B47&gt;=$K$11, 1,0),0)</f>
        <v>0</v>
      </c>
      <c r="L47" s="60" t="str">
        <f aca="false">IF(I47=0,1,"")</f>
        <v/>
      </c>
      <c r="M47" s="264" t="s">
        <v>161</v>
      </c>
      <c r="N47" s="271" t="str">
        <f aca="false">IFERROR( IF(N37="single",IF(N44&lt;=O31, "0%", IF(N44&lt;=O33, "50%", "85%")),IF(N44&lt;=O32, "0%", IF(N44&lt;=O34, "50%", "85%"))),0)</f>
        <v>0%</v>
      </c>
      <c r="O47" s="266" t="s">
        <v>157</v>
      </c>
      <c r="P47" s="4" t="n">
        <f aca="false">IF(AND(G47&gt;E47, A47&lt;&gt;0, V47&lt;&gt;0), $N$5 * ($P$22 ^ V47 - 1), 0)</f>
        <v>0</v>
      </c>
      <c r="Q47" s="253" t="n">
        <v>0</v>
      </c>
      <c r="T47" s="274"/>
      <c r="U47" s="75"/>
      <c r="V47" s="71" t="n">
        <f aca="false">IF(B47&lt;EDATE($K$11,12), 0,  DATEDIF(EDATE($K$11,12), B47 + 1, "y") + 1 )</f>
        <v>0</v>
      </c>
    </row>
    <row r="48" customFormat="false" ht="12.75" hidden="false" customHeight="true" outlineLevel="0" collapsed="false">
      <c r="A48" s="228" t="n">
        <f aca="false">IF(OR(G47="",G47&lt;=0,C47&gt;150),NA(),A47+1)</f>
        <v>20</v>
      </c>
      <c r="B48" s="229" t="n">
        <f aca="false">IF(ISERROR(A48),"",IF($D$9="Annually",EDATE(B47,12),EDATE(B47,1)))</f>
        <v>46901</v>
      </c>
      <c r="C48" s="230" t="n">
        <f aca="false">IF(ISERROR(A48),"",C47+IF($D$9="Monthly",1/12,1))</f>
        <v>62.7166666666667</v>
      </c>
      <c r="D48" s="231" t="n">
        <f aca="false">IF(L47&lt;&gt;1, IF(G47&lt;E47,0,D47),IF(L47=1,IFERROR(ROUND(IF($G47 - (E47 * 6) &lt; 0, D47, ($G47 - (E47 * 6)) * $D$8 / 12),2),0) ) )</f>
        <v>20.52</v>
      </c>
      <c r="E48" s="231" t="n">
        <f aca="false">IF(ISERROR(A48), 0,  MAX(0,   MIN(    ROUND(G47 + D48, 2),    ROUND(FV($S$5, IF(type=1, A48, A47), , IF(J48&lt;&gt;1, -$D$20, -$P$16 + P48), 2), 0)   )  ) )</f>
        <v>18</v>
      </c>
      <c r="F48" s="231" t="str">
        <f aca="false">IF(J48&lt;&gt;1, "", IF(J47&lt;&gt;0, F47, $K$12))</f>
        <v/>
      </c>
      <c r="G48" s="232" t="n">
        <f aca="false">IF(ISERROR(A48),"",ROUND(G47-E48+D48,2))</f>
        <v>5046.43</v>
      </c>
      <c r="H48" s="237" t="n">
        <f aca="false">IF(G48&gt;0,IFERROR(H47+(H47*($D$16/12)),""),"")</f>
        <v>19.0254055025245</v>
      </c>
      <c r="I48" s="223" t="n">
        <f aca="false">IF(ISERROR(A49),"",12 - MONTH(B48))</f>
        <v>7</v>
      </c>
      <c r="J48" s="224" t="n">
        <f aca="false">K48</f>
        <v>0</v>
      </c>
      <c r="K48" s="225" t="n">
        <f aca="false">_xlfn.IFNA(IF(B48&gt;=$K$11, 1,0),0)</f>
        <v>0</v>
      </c>
      <c r="L48" s="60" t="str">
        <f aca="false">IF(I48=0,1,"")</f>
        <v/>
      </c>
      <c r="M48" s="275" t="s">
        <v>162</v>
      </c>
      <c r="N48" s="15" t="n">
        <f aca="false">(SUM(N38+N40-N46)*N47)</f>
        <v>0</v>
      </c>
      <c r="O48" s="28" t="s">
        <v>157</v>
      </c>
      <c r="P48" s="4" t="n">
        <f aca="false">IF(AND(G48&gt;E48, A48&lt;&gt;0, V48&lt;&gt;0), $N$5 * ($P$22 ^ V48 - 1), 0)</f>
        <v>0</v>
      </c>
      <c r="Q48" s="80" t="n">
        <f aca="false">D20*12</f>
        <v>206.55</v>
      </c>
      <c r="T48" s="276" t="n">
        <f aca="false">IF(N43&lt;32000,0,IF(N43&lt;44000,MIN(0.5*N38,0.5*(N43-32000)),MIN(0.85*N38,0.5*12000+0.85*(N43-44000))))</f>
        <v>0</v>
      </c>
      <c r="U48" s="75"/>
      <c r="V48" s="71" t="n">
        <f aca="false">IF(B48&lt;EDATE($K$11,12), 0,  DATEDIF(EDATE($K$11,12), B48 + 1, "y") + 1 )</f>
        <v>0</v>
      </c>
    </row>
    <row r="49" customFormat="false" ht="12.75" hidden="false" customHeight="true" outlineLevel="0" collapsed="false">
      <c r="A49" s="228" t="n">
        <f aca="false">IF(OR(G48="",G48&lt;=0,C48&gt;150),NA(),A48+1)</f>
        <v>21</v>
      </c>
      <c r="B49" s="229" t="n">
        <f aca="false">IF(ISERROR(A49),"",IF($D$9="Annually",EDATE(B48,12),EDATE(B48,1)))</f>
        <v>46932</v>
      </c>
      <c r="C49" s="230" t="n">
        <f aca="false">IF(ISERROR(A49),"",C48+IF($D$9="Monthly",1/12,1))</f>
        <v>62.8000000000001</v>
      </c>
      <c r="D49" s="231" t="n">
        <f aca="false">IF(L48&lt;&gt;1, IF(G48&lt;E48,0,D48),IF(L48=1,IFERROR(ROUND(IF($G48 - (E48 * 6) &lt; 0, D48, ($G48 - (E48 * 6)) * $D$8 / 12),2),0) ) )</f>
        <v>20.52</v>
      </c>
      <c r="E49" s="231" t="n">
        <f aca="false">IF(ISERROR(A49), 0,  MAX(0,   MIN(    ROUND(G48 + D49, 2),    ROUND(FV($S$5, IF(type=1, A49, A48), , IF(J49&lt;&gt;1, -$D$20, -$P$16 + P49), 2), 0)   )  ) )</f>
        <v>18</v>
      </c>
      <c r="F49" s="231" t="str">
        <f aca="false">IF(J49&lt;&gt;1, "", IF(J48&lt;&gt;0, F48, $K$12))</f>
        <v/>
      </c>
      <c r="G49" s="232" t="n">
        <f aca="false">IF(ISERROR(A49),"",ROUND(G48-E49+D49,2))</f>
        <v>5048.95</v>
      </c>
      <c r="H49" s="233" t="n">
        <f aca="false">IF(G49&gt;0,IFERROR(H48+(H48*($D$16/12)),""),"")</f>
        <v>19.0571145116953</v>
      </c>
      <c r="I49" s="223" t="n">
        <f aca="false">IF(ISERROR(A50),"",12 - MONTH(B49))</f>
        <v>6</v>
      </c>
      <c r="J49" s="224" t="n">
        <f aca="false">K49</f>
        <v>0</v>
      </c>
      <c r="K49" s="225" t="n">
        <f aca="false">_xlfn.IFNA(IF(B49&gt;=$K$11, 1,0),0)</f>
        <v>0</v>
      </c>
      <c r="L49" s="60" t="str">
        <f aca="false">IF(I49=0,1,"")</f>
        <v/>
      </c>
      <c r="M49" s="277" t="s">
        <v>163</v>
      </c>
      <c r="N49" s="271" t="n">
        <f aca="false">IFERROR( SUM(N38+N40-N46)-(SUM(N38+N40-N46)*N47)*N8,0)</f>
        <v>0</v>
      </c>
      <c r="O49" s="266" t="s">
        <v>164</v>
      </c>
      <c r="P49" s="4" t="n">
        <f aca="false">IF(AND(G49&gt;E49, A49&lt;&gt;0, V49&lt;&gt;0), $N$5 * ($P$22 ^ V49 - 1), 0)</f>
        <v>0</v>
      </c>
      <c r="Q49" s="80" t="n">
        <f aca="false">N38</f>
        <v>0</v>
      </c>
      <c r="T49" s="276" t="str">
        <f aca="false">IF(N45="No",0,IF(OR(N41&lt;$Q$26,N40&lt;1),"0",IF(N41&lt;=$Q$26,"0",(SUM(N41-$Q$26)/2))))</f>
        <v>0</v>
      </c>
      <c r="U49" s="75"/>
      <c r="V49" s="71" t="n">
        <f aca="false">IF(B49&lt;EDATE($K$11,12), 0,  DATEDIF(EDATE($K$11,12), B49 + 1, "y") + 1 )</f>
        <v>0</v>
      </c>
    </row>
    <row r="50" customFormat="false" ht="12.75" hidden="false" customHeight="true" outlineLevel="0" collapsed="false">
      <c r="A50" s="228" t="n">
        <f aca="false">IF(OR(G49="",G49&lt;=0,C49&gt;150),NA(),A49+1)</f>
        <v>22</v>
      </c>
      <c r="B50" s="229" t="n">
        <f aca="false">IF(ISERROR(A50),"",IF($D$9="Annually",EDATE(B49,12),EDATE(B49,1)))</f>
        <v>46962</v>
      </c>
      <c r="C50" s="230" t="n">
        <f aca="false">IF(ISERROR(A50),"",C49+IF($D$9="Monthly",1/12,1))</f>
        <v>62.8833333333334</v>
      </c>
      <c r="D50" s="231" t="n">
        <f aca="false">IF(L49&lt;&gt;1, IF(G49&lt;E49,0,D49),IF(L49=1,IFERROR(ROUND(IF($G49 - (E49 * 6) &lt; 0, D49, ($G49 - (E49 * 6)) * $D$8 / 12),2),0) ) )</f>
        <v>20.52</v>
      </c>
      <c r="E50" s="231" t="n">
        <f aca="false">IF(ISERROR(A50), 0,  MAX(0,   MIN(    ROUND(G49 + D50, 2),    ROUND(FV($S$5, IF(type=1, A50, A49), , IF(J50&lt;&gt;1, -$D$20, -$P$16 + P50), 2), 0)   )  ) )</f>
        <v>18</v>
      </c>
      <c r="F50" s="231" t="str">
        <f aca="false">IF(J50&lt;&gt;1, "", IF(J49&lt;&gt;0, F49, $K$12))</f>
        <v/>
      </c>
      <c r="G50" s="232" t="n">
        <f aca="false">IF(ISERROR(A50),"",ROUND(G49-E50+D50,2))</f>
        <v>5051.47</v>
      </c>
      <c r="H50" s="237" t="n">
        <f aca="false">IF(G50&gt;0,IFERROR(H49+(H49*($D$16/12)),""),"")</f>
        <v>19.0888763692148</v>
      </c>
      <c r="I50" s="223" t="n">
        <f aca="false">IF(ISERROR(A51),"",12 - MONTH(B50))</f>
        <v>5</v>
      </c>
      <c r="J50" s="224" t="n">
        <f aca="false">K50</f>
        <v>0</v>
      </c>
      <c r="K50" s="225" t="n">
        <f aca="false">_xlfn.IFNA(IF(B50&gt;=$K$11, 1,0),0)</f>
        <v>0</v>
      </c>
      <c r="L50" s="60" t="str">
        <f aca="false">IF(I50=0,1,"")</f>
        <v/>
      </c>
      <c r="M50" s="278" t="s">
        <v>165</v>
      </c>
      <c r="N50" s="278"/>
      <c r="O50" s="278"/>
      <c r="P50" s="4" t="n">
        <f aca="false">IF(AND(G50&gt;E50, A50&lt;&gt;0, V50&lt;&gt;0), $N$5 * ($P$22 ^ V50 - 1), 0)</f>
        <v>0</v>
      </c>
      <c r="Q50" s="80" t="n">
        <f aca="false">N39</f>
        <v>0</v>
      </c>
      <c r="T50" s="274"/>
      <c r="U50" s="75"/>
      <c r="V50" s="71" t="n">
        <f aca="false">IF(B50&lt;EDATE($K$11,12), 0,  DATEDIF(EDATE($K$11,12), B50 + 1, "y") + 1 )</f>
        <v>0</v>
      </c>
    </row>
    <row r="51" customFormat="false" ht="12.75" hidden="false" customHeight="true" outlineLevel="0" collapsed="false">
      <c r="A51" s="228" t="n">
        <f aca="false">IF(OR(G50="",G50&lt;=0,C50&gt;150),NA(),A50+1)</f>
        <v>23</v>
      </c>
      <c r="B51" s="229" t="n">
        <f aca="false">IF(ISERROR(A51),"",IF($D$9="Annually",EDATE(B50,12),EDATE(B50,1)))</f>
        <v>46993</v>
      </c>
      <c r="C51" s="230" t="n">
        <f aca="false">IF(ISERROR(A51),"",C50+IF($D$9="Monthly",1/12,1))</f>
        <v>62.9666666666667</v>
      </c>
      <c r="D51" s="231" t="n">
        <f aca="false">IF(L50&lt;&gt;1, IF(G50&lt;E50,0,D50),IF(L50=1,IFERROR(ROUND(IF($G50 - (E50 * 6) &lt; 0, D50, ($G50 - (E50 * 6)) * $D$8 / 12),2),0) ) )</f>
        <v>20.52</v>
      </c>
      <c r="E51" s="231" t="n">
        <f aca="false">IF(ISERROR(A51), 0,  MAX(0,   MIN(    ROUND(G50 + D51, 2),    ROUND(FV($S$5, IF(type=1, A51, A50), , IF(J51&lt;&gt;1, -$D$20, -$P$16 + P51), 2), 0)   )  ) )</f>
        <v>18</v>
      </c>
      <c r="F51" s="231" t="str">
        <f aca="false">IF(J51&lt;&gt;1, "", IF(J50&lt;&gt;0, F50, $K$12))</f>
        <v/>
      </c>
      <c r="G51" s="232" t="n">
        <f aca="false">IF(ISERROR(A51),"",ROUND(G50-E51+D51,2))</f>
        <v>5053.99</v>
      </c>
      <c r="H51" s="233" t="n">
        <f aca="false">IF(G51&gt;0,IFERROR(H50+(H50*($D$16/12)),""),"")</f>
        <v>19.1206911631635</v>
      </c>
      <c r="I51" s="223" t="n">
        <f aca="false">IF(ISERROR(A52),"",12 - MONTH(B51))</f>
        <v>4</v>
      </c>
      <c r="J51" s="224" t="n">
        <f aca="false">K51</f>
        <v>0</v>
      </c>
      <c r="K51" s="225" t="n">
        <f aca="false">_xlfn.IFNA(IF(B51&gt;=$K$11, 1,0),0)</f>
        <v>0</v>
      </c>
      <c r="L51" s="60" t="str">
        <f aca="false">IF(I51=0,1,"")</f>
        <v/>
      </c>
      <c r="M51" s="279" t="s">
        <v>166</v>
      </c>
      <c r="N51" s="280" t="s">
        <v>167</v>
      </c>
      <c r="O51" s="279" t="s">
        <v>168</v>
      </c>
      <c r="P51" s="4" t="n">
        <f aca="false">IF(AND(G51&gt;E51, A51&lt;&gt;0, V51&lt;&gt;0), $N$5 * ($P$22 ^ V51 - 1), 0)</f>
        <v>0</v>
      </c>
      <c r="Q51" s="80" t="n">
        <f aca="false">N40</f>
        <v>0</v>
      </c>
      <c r="T51" s="274" t="s">
        <v>8</v>
      </c>
      <c r="U51" s="75"/>
      <c r="V51" s="71" t="n">
        <f aca="false">IF(B51&lt;EDATE($K$11,12), 0,  DATEDIF(EDATE($K$11,12), B51 + 1, "y") + 1 )</f>
        <v>0</v>
      </c>
    </row>
    <row r="52" customFormat="false" ht="12.75" hidden="false" customHeight="true" outlineLevel="0" collapsed="false">
      <c r="A52" s="228" t="n">
        <f aca="false">IF(OR(G51="",G51&lt;=0,C51&gt;150),NA(),A51+1)</f>
        <v>24</v>
      </c>
      <c r="B52" s="229" t="n">
        <f aca="false">IF(ISERROR(A52),"",IF($D$9="Annually",EDATE(B51,12),EDATE(B51,1)))</f>
        <v>47024</v>
      </c>
      <c r="C52" s="230" t="n">
        <f aca="false">IF(ISERROR(A52),"",C51+IF($D$9="Monthly",1/12,1))</f>
        <v>63.0500000000001</v>
      </c>
      <c r="D52" s="231" t="n">
        <f aca="false">IF(L51&lt;&gt;1, IF(G51&lt;E51,0,D51),IF(L51=1,IFERROR(ROUND(IF($G51 - (E51 * 6) &lt; 0, D51, ($G51 - (E51 * 6)) * $D$8 / 12),2),0) ) )</f>
        <v>20.52</v>
      </c>
      <c r="E52" s="231" t="n">
        <f aca="false">IF(ISERROR(A52), 0,  MAX(0,   MIN(    ROUND(G51 + D52, 2),    ROUND(FV($S$5, IF(type=1, A52, A51), , IF(J52&lt;&gt;1, -$D$20, -$P$16 + P52), 2), 0)   )  ) )</f>
        <v>18</v>
      </c>
      <c r="F52" s="231" t="str">
        <f aca="false">IF(J52&lt;&gt;1, "", IF(J51&lt;&gt;0, F51, $K$12))</f>
        <v/>
      </c>
      <c r="G52" s="232" t="n">
        <f aca="false">IF(ISERROR(A52),"",ROUND(G51-E52+D52,2))</f>
        <v>5056.51</v>
      </c>
      <c r="H52" s="237" t="n">
        <f aca="false">IF(G52&gt;0,IFERROR(H51+(H51*($D$16/12)),""),"")</f>
        <v>19.1525589817688</v>
      </c>
      <c r="I52" s="223" t="n">
        <f aca="false">IF(ISERROR(A53),"",12 - MONTH(B52))</f>
        <v>3</v>
      </c>
      <c r="J52" s="224" t="n">
        <f aca="false">K52</f>
        <v>0</v>
      </c>
      <c r="K52" s="225" t="n">
        <f aca="false">_xlfn.IFNA(IF(B52&gt;=$K$11, 1,0),0)</f>
        <v>0</v>
      </c>
      <c r="L52" s="60" t="str">
        <f aca="false">IF(I52=0,1,"")</f>
        <v/>
      </c>
      <c r="M52" s="267" t="n">
        <v>18</v>
      </c>
      <c r="N52" s="271" t="n">
        <f aca="false">Q26/12/4</f>
        <v>510</v>
      </c>
      <c r="O52" s="281" t="n">
        <f aca="false">ROUNDDOWN(N52/M52,0)</f>
        <v>28</v>
      </c>
      <c r="P52" s="4" t="n">
        <f aca="false">IF(AND(G52&gt;E52, A52&lt;&gt;0, V52&lt;&gt;0), $N$5 * ($P$22 ^ V52 - 1), 0)</f>
        <v>0</v>
      </c>
      <c r="Q52" s="80" t="n">
        <f aca="false">N41</f>
        <v>0</v>
      </c>
      <c r="T52" s="274"/>
      <c r="U52" s="75"/>
      <c r="V52" s="71" t="n">
        <f aca="false">IF(B52&lt;EDATE($K$11,12), 0,  DATEDIF(EDATE($K$11,12), B52 + 1, "y") + 1 )</f>
        <v>0</v>
      </c>
    </row>
    <row r="53" customFormat="false" ht="12.75" hidden="false" customHeight="true" outlineLevel="0" collapsed="false">
      <c r="A53" s="228" t="n">
        <f aca="false">IF(OR(G52="",G52&lt;=0,C52&gt;150),NA(),A52+1)</f>
        <v>25</v>
      </c>
      <c r="B53" s="229" t="n">
        <f aca="false">IF(ISERROR(A53),"",IF($D$9="Annually",EDATE(B52,12),EDATE(B52,1)))</f>
        <v>47054</v>
      </c>
      <c r="C53" s="230" t="n">
        <f aca="false">IF(ISERROR(A53),"",C52+IF($D$9="Monthly",1/12,1))</f>
        <v>63.1333333333334</v>
      </c>
      <c r="D53" s="231" t="n">
        <f aca="false">IF(L52&lt;&gt;1, IF(G52&lt;E52,0,D52),IF(L52=1,IFERROR(ROUND(IF($G52 - (E52 * 6) &lt; 0, D52, ($G52 - (E52 * 6)) * $D$8 / 12),2),0) ) )</f>
        <v>20.52</v>
      </c>
      <c r="E53" s="231" t="n">
        <f aca="false">IF(ISERROR(A53), 0,  MAX(0,   MIN(    ROUND(G52 + D53, 2),    ROUND(FV($S$5, IF(type=1, A53, A52), , IF(J53&lt;&gt;1, -$D$20, -$P$16 + P53), 2), 0)   )  ) )</f>
        <v>18</v>
      </c>
      <c r="F53" s="231" t="str">
        <f aca="false">IF(J53&lt;&gt;1, "", IF(J52&lt;&gt;0, F52, $K$12))</f>
        <v/>
      </c>
      <c r="G53" s="232" t="n">
        <f aca="false">IF(ISERROR(A53),"",ROUND(G52-E53+D53,2))</f>
        <v>5059.03</v>
      </c>
      <c r="H53" s="233" t="n">
        <f aca="false">IF(G53&gt;0,IFERROR(H52+(H52*($D$16/12)),""),"")</f>
        <v>19.1844799134051</v>
      </c>
      <c r="I53" s="223" t="n">
        <f aca="false">IF(ISERROR(A54),"",12 - MONTH(B53))</f>
        <v>2</v>
      </c>
      <c r="J53" s="224" t="n">
        <f aca="false">K53</f>
        <v>0</v>
      </c>
      <c r="K53" s="225" t="n">
        <f aca="false">_xlfn.IFNA(IF(B53&gt;=$K$11, 1,0),0)</f>
        <v>0</v>
      </c>
      <c r="L53" s="60" t="str">
        <f aca="false">IF(I53=0,1,"")</f>
        <v/>
      </c>
      <c r="M53" s="282"/>
      <c r="N53" s="283"/>
      <c r="O53" s="279" t="s">
        <v>169</v>
      </c>
      <c r="P53" s="4" t="n">
        <f aca="false">IF(AND(G53&gt;E53, A53&lt;&gt;0, V53&lt;&gt;0), $N$5 * ($P$22 ^ V53 - 1), 0)</f>
        <v>0</v>
      </c>
      <c r="Q53" s="80" t="str">
        <f aca="false">Q35</f>
        <v> </v>
      </c>
      <c r="T53" s="274"/>
      <c r="U53" s="75"/>
      <c r="V53" s="71" t="n">
        <f aca="false">IF(B53&lt;EDATE($K$11,12), 0,  DATEDIF(EDATE($K$11,12), B53 + 1, "y") + 1 )</f>
        <v>0</v>
      </c>
    </row>
    <row r="54" customFormat="false" ht="12.75" hidden="false" customHeight="true" outlineLevel="0" collapsed="false">
      <c r="A54" s="228" t="n">
        <f aca="false">IF(OR(G53="",G53&lt;=0,C53&gt;150),NA(),A53+1)</f>
        <v>26</v>
      </c>
      <c r="B54" s="229" t="n">
        <f aca="false">IF(ISERROR(A54),"",IF($D$9="Annually",EDATE(B53,12),EDATE(B53,1)))</f>
        <v>47085</v>
      </c>
      <c r="C54" s="230" t="n">
        <f aca="false">IF(ISERROR(A54),"",C53+IF($D$9="Monthly",1/12,1))</f>
        <v>63.2166666666667</v>
      </c>
      <c r="D54" s="231" t="n">
        <f aca="false">IF(L53&lt;&gt;1, IF(G53&lt;E53,0,D53),IF(L53=1,IFERROR(ROUND(IF($G53 - (E53 * 6) &lt; 0, D53, ($G53 - (E53 * 6)) * $D$8 / 12),2),0) ) )</f>
        <v>20.52</v>
      </c>
      <c r="E54" s="231" t="n">
        <f aca="false">IF(ISERROR(A54), 0,  MAX(0,   MIN(    ROUND(G53 + D54, 2),    ROUND(FV($S$5, IF(type=1, A54, A53), , IF(J54&lt;&gt;1, -$D$20, -$P$16 + P54), 2), 0)   )  ) )</f>
        <v>18</v>
      </c>
      <c r="F54" s="231" t="str">
        <f aca="false">IF(J54&lt;&gt;1, "", IF(J53&lt;&gt;0, F53, $K$12))</f>
        <v/>
      </c>
      <c r="G54" s="232" t="n">
        <f aca="false">IF(ISERROR(A54),"",ROUND(G53-E54+D54,2))</f>
        <v>5061.55</v>
      </c>
      <c r="H54" s="237" t="n">
        <f aca="false">IF(G54&gt;0,IFERROR(H53+(H53*($D$16/12)),""),"")</f>
        <v>19.2164540465941</v>
      </c>
      <c r="I54" s="223" t="n">
        <f aca="false">IF(ISERROR(A55),"",12 - MONTH(B54))</f>
        <v>1</v>
      </c>
      <c r="J54" s="224" t="n">
        <f aca="false">K54</f>
        <v>0</v>
      </c>
      <c r="K54" s="225" t="n">
        <f aca="false">_xlfn.IFNA(IF(B54&gt;=$K$11, 1,0),0)</f>
        <v>0</v>
      </c>
      <c r="L54" s="60" t="str">
        <f aca="false">IF(I54=0,1,"")</f>
        <v/>
      </c>
      <c r="M54" s="266" t="s">
        <v>170</v>
      </c>
      <c r="N54" s="271" t="n">
        <f aca="false">N52*4</f>
        <v>2040</v>
      </c>
      <c r="O54" s="266" t="n">
        <f aca="false">O52/5</f>
        <v>5.6</v>
      </c>
      <c r="P54" s="4" t="n">
        <f aca="false">IF(AND(G54&gt;E54, A54&lt;&gt;0, V54&lt;&gt;0), $N$5 * ($P$22 ^ V54 - 1), 0)</f>
        <v>0</v>
      </c>
      <c r="Q54" s="80" t="str">
        <f aca="false">Q36</f>
        <v> </v>
      </c>
      <c r="T54" s="274"/>
      <c r="U54" s="75"/>
      <c r="V54" s="71" t="n">
        <f aca="false">IF(B54&lt;EDATE($K$11,12), 0,  DATEDIF(EDATE($K$11,12), B54 + 1, "y") + 1 )</f>
        <v>0</v>
      </c>
    </row>
    <row r="55" customFormat="false" ht="12.75" hidden="false" customHeight="true" outlineLevel="0" collapsed="false">
      <c r="A55" s="228" t="n">
        <f aca="false">IF(OR(G54="",G54&lt;=0,C54&gt;150),NA(),A54+1)</f>
        <v>27</v>
      </c>
      <c r="B55" s="229" t="n">
        <f aca="false">IF(ISERROR(A55),"",IF($D$9="Annually",EDATE(B54,12),EDATE(B54,1)))</f>
        <v>47115</v>
      </c>
      <c r="C55" s="230" t="n">
        <f aca="false">IF(ISERROR(A55),"",C54+IF($D$9="Monthly",1/12,1))</f>
        <v>63.3000000000001</v>
      </c>
      <c r="D55" s="231" t="n">
        <f aca="false">IF(L54&lt;&gt;1, IF(G54&lt;E54,0,D54),IF(L54=1,IFERROR(ROUND(IF($G54 - (E54 * 6) &lt; 0, D54, ($G54 - (E54 * 6)) * $D$8 / 12),2),0) ) )</f>
        <v>20.52</v>
      </c>
      <c r="E55" s="231" t="n">
        <f aca="false">IF(ISERROR(A55), 0,  MAX(0,   MIN(    ROUND(G54 + D55, 2),    ROUND(FV($S$5, IF(type=1, A55, A54), , IF(J55&lt;&gt;1, -$D$20, -$P$16 + P55), 2), 0)   )  ) )</f>
        <v>18</v>
      </c>
      <c r="F55" s="231" t="str">
        <f aca="false">IF(J55&lt;&gt;1, "", IF(J54&lt;&gt;0, F54, $K$12))</f>
        <v/>
      </c>
      <c r="G55" s="232" t="n">
        <f aca="false">IF(ISERROR(A55),"",ROUND(G54-E55+D55,2))</f>
        <v>5064.07</v>
      </c>
      <c r="H55" s="233" t="n">
        <f aca="false">IF(G55&gt;0,IFERROR(H54+(H54*($D$16/12)),""),"")</f>
        <v>19.2484814700051</v>
      </c>
      <c r="I55" s="223" t="n">
        <f aca="false">IF(ISERROR(A56),"",12 - MONTH(B55))</f>
        <v>0</v>
      </c>
      <c r="J55" s="224" t="n">
        <f aca="false">K55</f>
        <v>0</v>
      </c>
      <c r="K55" s="225" t="n">
        <f aca="false">_xlfn.IFNA(IF(B55&gt;=$K$11, 1,0),0)</f>
        <v>0</v>
      </c>
      <c r="L55" s="60" t="n">
        <f aca="false">IF(I55=0,1,"")</f>
        <v>1</v>
      </c>
      <c r="M55" s="266" t="s">
        <v>8</v>
      </c>
      <c r="N55" s="271" t="s">
        <v>8</v>
      </c>
      <c r="O55" s="279" t="s">
        <v>171</v>
      </c>
      <c r="P55" s="4" t="n">
        <f aca="false">IF(AND(G55&gt;E55, A55&lt;&gt;0, V55&lt;&gt;0), $N$5 * ($P$22 ^ V55 - 1), 0)</f>
        <v>0</v>
      </c>
      <c r="Q55" s="80" t="n">
        <f aca="false">Q39</f>
        <v>0</v>
      </c>
      <c r="T55" s="274"/>
      <c r="U55" s="75"/>
      <c r="V55" s="71" t="n">
        <f aca="false">IF(B55&lt;EDATE($K$11,12), 0,  DATEDIF(EDATE($K$11,12), B55 + 1, "y") + 1 )</f>
        <v>0</v>
      </c>
    </row>
    <row r="56" customFormat="false" ht="12.75" hidden="false" customHeight="true" outlineLevel="0" collapsed="false">
      <c r="A56" s="228" t="n">
        <f aca="false">IF(OR(G55="",G55&lt;=0,C55&gt;150),NA(),A55+1)</f>
        <v>28</v>
      </c>
      <c r="B56" s="229" t="n">
        <f aca="false">IF(ISERROR(A56),"",IF($D$9="Annually",EDATE(B55,12),EDATE(B55,1)))</f>
        <v>47146</v>
      </c>
      <c r="C56" s="230" t="n">
        <f aca="false">IF(ISERROR(A56),"",C55+IF($D$9="Monthly",1/12,1))</f>
        <v>63.3833333333334</v>
      </c>
      <c r="D56" s="231" t="n">
        <f aca="false">IF(L55&lt;&gt;1, IF(G55&lt;E55,0,D55),IF(L55=1,IFERROR(ROUND(IF($G55 - (E55 * 6) &lt; 0, D55, ($G55 - (E55 * 6)) * $D$8 / 12),2),0) ) )</f>
        <v>20.65</v>
      </c>
      <c r="E56" s="231" t="n">
        <f aca="false">IF(ISERROR(A56), 0,  MAX(0,   MIN(    ROUND(G55 + D56, 2),    ROUND(FV($S$5, IF(type=1, A56, A55), , IF(J56&lt;&gt;1, -$D$20, -$P$16 + P56), 2), 0)   )  ) )</f>
        <v>18</v>
      </c>
      <c r="F56" s="231" t="str">
        <f aca="false">IF(J56&lt;&gt;1, "", IF(J55&lt;&gt;0, F55, $K$12))</f>
        <v/>
      </c>
      <c r="G56" s="232" t="n">
        <f aca="false">IF(ISERROR(A56),"",ROUND(G55-E56+D56,2))</f>
        <v>5066.72</v>
      </c>
      <c r="H56" s="237" t="n">
        <f aca="false">IF(G56&gt;0,IFERROR(H55+(H55*($D$16/12)),""),"")</f>
        <v>19.2805622724551</v>
      </c>
      <c r="I56" s="223" t="n">
        <f aca="false">IF(ISERROR(A57),"",12 - MONTH(B56))</f>
        <v>11</v>
      </c>
      <c r="J56" s="224" t="n">
        <f aca="false">K56</f>
        <v>0</v>
      </c>
      <c r="K56" s="225" t="n">
        <f aca="false">_xlfn.IFNA(IF(B56&gt;=$K$11, 1,0),0)</f>
        <v>0</v>
      </c>
      <c r="L56" s="60" t="str">
        <f aca="false">IF(I56=0,1,"")</f>
        <v/>
      </c>
      <c r="M56" s="284" t="s">
        <v>8</v>
      </c>
      <c r="N56" s="283" t="s">
        <v>8</v>
      </c>
      <c r="O56" s="266" t="n">
        <f aca="false">O52/8</f>
        <v>3.5</v>
      </c>
      <c r="P56" s="4" t="n">
        <f aca="false">IF(AND(G56&gt;E56, A56&lt;&gt;0, V56&lt;&gt;0), $N$5 * ($P$22 ^ V56 - 1), 0)</f>
        <v>0</v>
      </c>
      <c r="Q56" s="80" t="n">
        <f aca="false">Q40</f>
        <v>0</v>
      </c>
      <c r="T56" s="274"/>
      <c r="U56" s="75"/>
      <c r="V56" s="71" t="n">
        <f aca="false">IF(B56&lt;EDATE($K$11,12), 0,  DATEDIF(EDATE($K$11,12), B56 + 1, "y") + 1 )</f>
        <v>0</v>
      </c>
    </row>
    <row r="57" customFormat="false" ht="12.75" hidden="false" customHeight="true" outlineLevel="0" collapsed="false">
      <c r="A57" s="228" t="n">
        <f aca="false">IF(OR(G56="",G56&lt;=0,C56&gt;150),NA(),A56+1)</f>
        <v>29</v>
      </c>
      <c r="B57" s="229" t="n">
        <f aca="false">IF(ISERROR(A57),"",IF($D$9="Annually",EDATE(B56,12),EDATE(B56,1)))</f>
        <v>47177</v>
      </c>
      <c r="C57" s="230" t="n">
        <f aca="false">IF(ISERROR(A57),"",C56+IF($D$9="Monthly",1/12,1))</f>
        <v>63.4666666666667</v>
      </c>
      <c r="D57" s="231" t="n">
        <f aca="false">IF(L56&lt;&gt;1, IF(G56&lt;E56,0,D56),IF(L56=1,IFERROR(ROUND(IF($G56 - (E56 * 6) &lt; 0, D56, ($G56 - (E56 * 6)) * $D$8 / 12),2),0) ) )</f>
        <v>20.65</v>
      </c>
      <c r="E57" s="231" t="n">
        <f aca="false">IF(ISERROR(A57), 0,  MAX(0,   MIN(    ROUND(G56 + D57, 2),    ROUND(FV($S$5, IF(type=1, A57, A56), , IF(J57&lt;&gt;1, -$D$20, -$P$16 + P57), 2), 0)   )  ) )</f>
        <v>18</v>
      </c>
      <c r="F57" s="231" t="str">
        <f aca="false">IF(J57&lt;&gt;1, "", IF(J56&lt;&gt;0, F56, $K$12))</f>
        <v/>
      </c>
      <c r="G57" s="232" t="n">
        <f aca="false">IF(ISERROR(A57),"",ROUND(G56-E57+D57,2))</f>
        <v>5069.37</v>
      </c>
      <c r="H57" s="233" t="n">
        <f aca="false">IF(G57&gt;0,IFERROR(H56+(H56*($D$16/12)),""),"")</f>
        <v>19.3126965429092</v>
      </c>
      <c r="I57" s="223" t="n">
        <f aca="false">IF(ISERROR(A58),"",12 - MONTH(B57))</f>
        <v>10</v>
      </c>
      <c r="J57" s="224" t="n">
        <f aca="false">K57</f>
        <v>0</v>
      </c>
      <c r="K57" s="225" t="n">
        <f aca="false">_xlfn.IFNA(IF(B57&gt;=$K$11, 1,0),0)</f>
        <v>0</v>
      </c>
      <c r="L57" s="60" t="str">
        <f aca="false">IF(I57=0,1,"")</f>
        <v/>
      </c>
      <c r="M57" s="285" t="str">
        <f aca="false">"Random info (if red, indicates possible SSN penalty over $"&amp;O31&amp;")"</f>
        <v>Random info (if red, indicates possible SSN penalty over $25000)</v>
      </c>
      <c r="N57" s="285"/>
      <c r="O57" s="285"/>
      <c r="P57" s="4" t="n">
        <f aca="false">IF(AND(G57&gt;E57, A57&lt;&gt;0, V57&lt;&gt;0), $N$5 * ($P$22 ^ V57 - 1), 0)</f>
        <v>0</v>
      </c>
      <c r="Q57" s="80" t="n">
        <f aca="false">Q41</f>
        <v>0</v>
      </c>
      <c r="T57" s="286"/>
      <c r="U57" s="236"/>
      <c r="V57" s="71" t="n">
        <f aca="false">IF(B57&lt;EDATE($K$11,12), 0,  DATEDIF(EDATE($K$11,12), B57 + 1, "y") + 1 )</f>
        <v>0</v>
      </c>
    </row>
    <row r="58" customFormat="false" ht="12.75" hidden="false" customHeight="true" outlineLevel="0" collapsed="false">
      <c r="A58" s="228" t="n">
        <f aca="false">IF(OR(G57="",G57&lt;=0,C57&gt;150),NA(),A57+1)</f>
        <v>30</v>
      </c>
      <c r="B58" s="229" t="n">
        <f aca="false">IF(ISERROR(A58),"",IF($D$9="Annually",EDATE(B57,12),EDATE(B57,1)))</f>
        <v>47205</v>
      </c>
      <c r="C58" s="230" t="n">
        <f aca="false">IF(ISERROR(A58),"",C57+IF($D$9="Monthly",1/12,1))</f>
        <v>63.5500000000001</v>
      </c>
      <c r="D58" s="231" t="n">
        <f aca="false">IF(L57&lt;&gt;1, IF(G57&lt;E57,0,D57),IF(L57=1,IFERROR(ROUND(IF($G57 - (E57 * 6) &lt; 0, D57, ($G57 - (E57 * 6)) * $D$8 / 12),2),0) ) )</f>
        <v>20.65</v>
      </c>
      <c r="E58" s="231" t="n">
        <f aca="false">IF(ISERROR(A58), 0,  MAX(0,   MIN(    ROUND(G57 + D58, 2),    ROUND(FV($S$5, IF(type=1, A58, A57), , IF(J58&lt;&gt;1, -$D$20, -$P$16 + P58), 2), 0)   )  ) )</f>
        <v>18</v>
      </c>
      <c r="F58" s="231" t="str">
        <f aca="false">IF(J58&lt;&gt;1, "", IF(J57&lt;&gt;0, F57, $K$12))</f>
        <v/>
      </c>
      <c r="G58" s="232" t="n">
        <f aca="false">IF(ISERROR(A58),"",ROUND(G57-E58+D58,2))</f>
        <v>5072.02</v>
      </c>
      <c r="H58" s="237" t="n">
        <f aca="false">IF(G58&gt;0,IFERROR(H57+(H57*($D$16/12)),""),"")</f>
        <v>19.3448843704807</v>
      </c>
      <c r="I58" s="223" t="n">
        <f aca="false">IF(ISERROR(A59),"",12 - MONTH(B58))</f>
        <v>9</v>
      </c>
      <c r="J58" s="224" t="n">
        <f aca="false">K58</f>
        <v>0</v>
      </c>
      <c r="K58" s="225" t="n">
        <f aca="false">_xlfn.IFNA(IF(B58&gt;=$K$11, 1,0),0)</f>
        <v>0</v>
      </c>
      <c r="L58" s="60" t="str">
        <f aca="false">IF(I58=0,1,"")</f>
        <v/>
      </c>
      <c r="M58" s="284" t="s">
        <v>172</v>
      </c>
      <c r="N58" s="271" t="n">
        <f aca="false">Q26</f>
        <v>24480</v>
      </c>
      <c r="O58" s="282"/>
      <c r="P58" s="4" t="n">
        <f aca="false">IF(AND(G58&gt;E58, A58&lt;&gt;0, V58&lt;&gt;0), $N$5 * ($P$22 ^ V58 - 1), 0)</f>
        <v>0</v>
      </c>
      <c r="Q58" s="62" t="n">
        <f aca="false">Q47</f>
        <v>0</v>
      </c>
      <c r="T58" s="274"/>
      <c r="U58" s="75"/>
      <c r="V58" s="71" t="n">
        <f aca="false">IF(B58&lt;EDATE($K$11,12), 0,  DATEDIF(EDATE($K$11,12), B58 + 1, "y") + 1 )</f>
        <v>0</v>
      </c>
    </row>
    <row r="59" customFormat="false" ht="12.75" hidden="false" customHeight="true" outlineLevel="0" collapsed="false">
      <c r="A59" s="228" t="n">
        <f aca="false">IF(OR(G58="",G58&lt;=0,C58&gt;150),NA(),A58+1)</f>
        <v>31</v>
      </c>
      <c r="B59" s="229" t="n">
        <f aca="false">IF(ISERROR(A59),"",IF($D$9="Annually",EDATE(B58,12),EDATE(B58,1)))</f>
        <v>47236</v>
      </c>
      <c r="C59" s="230" t="n">
        <f aca="false">IF(ISERROR(A59),"",C58+IF($D$9="Monthly",1/12,1))</f>
        <v>63.6333333333334</v>
      </c>
      <c r="D59" s="231" t="n">
        <f aca="false">IF(L58&lt;&gt;1, IF(G58&lt;E58,0,D58),IF(L58=1,IFERROR(ROUND(IF($G58 - (E58 * 6) &lt; 0, D58, ($G58 - (E58 * 6)) * $D$8 / 12),2),0) ) )</f>
        <v>20.65</v>
      </c>
      <c r="E59" s="231" t="n">
        <f aca="false">IF(ISERROR(A59), 0,  MAX(0,   MIN(    ROUND(G58 + D59, 2),    ROUND(FV($S$5, IF(type=1, A59, A58), , IF(J59&lt;&gt;1, -$D$20, -$P$16 + P59), 2), 0)   )  ) )</f>
        <v>18</v>
      </c>
      <c r="F59" s="231" t="str">
        <f aca="false">IF(J59&lt;&gt;1, "", IF(J58&lt;&gt;0, F58, $K$12))</f>
        <v/>
      </c>
      <c r="G59" s="232" t="n">
        <f aca="false">IF(ISERROR(A59),"",ROUND(G58-E59+D59,2))</f>
        <v>5074.67</v>
      </c>
      <c r="H59" s="233" t="n">
        <f aca="false">IF(G59&gt;0,IFERROR(H58+(H58*($D$16/12)),""),"")</f>
        <v>19.3771258444315</v>
      </c>
      <c r="I59" s="223" t="n">
        <f aca="false">IF(ISERROR(A60),"",12 - MONTH(B59))</f>
        <v>8</v>
      </c>
      <c r="J59" s="224" t="n">
        <f aca="false">K59</f>
        <v>0</v>
      </c>
      <c r="K59" s="225" t="n">
        <f aca="false">_xlfn.IFNA(IF(B59&gt;=$K$11, 1,0),0)</f>
        <v>0</v>
      </c>
      <c r="L59" s="60" t="str">
        <f aca="false">IF(I59=0,1,"")</f>
        <v/>
      </c>
      <c r="M59" s="284" t="s">
        <v>173</v>
      </c>
      <c r="N59" s="271" t="n">
        <f aca="false">N58/52</f>
        <v>470.769230769231</v>
      </c>
      <c r="O59" s="282" t="s">
        <v>174</v>
      </c>
      <c r="P59" s="4" t="n">
        <f aca="false">IF(AND(G59&gt;E59, A59&lt;&gt;0, V59&lt;&gt;0), $N$5 * ($P$22 ^ V59 - 1), 0)</f>
        <v>0</v>
      </c>
      <c r="Q59" s="69" t="s">
        <v>175</v>
      </c>
      <c r="T59" s="274"/>
      <c r="U59" s="75"/>
      <c r="V59" s="71" t="n">
        <f aca="false">IF(B59&lt;EDATE($K$11,12), 0,  DATEDIF(EDATE($K$11,12), B59 + 1, "y") + 1 )</f>
        <v>0</v>
      </c>
    </row>
    <row r="60" customFormat="false" ht="12.75" hidden="false" customHeight="true" outlineLevel="0" collapsed="false">
      <c r="A60" s="228" t="n">
        <f aca="false">IF(OR(G59="",G59&lt;=0,C59&gt;150),NA(),A59+1)</f>
        <v>32</v>
      </c>
      <c r="B60" s="229" t="n">
        <f aca="false">IF(ISERROR(A60),"",IF($D$9="Annually",EDATE(B59,12),EDATE(B59,1)))</f>
        <v>47266</v>
      </c>
      <c r="C60" s="230" t="n">
        <f aca="false">IF(ISERROR(A60),"",C59+IF($D$9="Monthly",1/12,1))</f>
        <v>63.7166666666668</v>
      </c>
      <c r="D60" s="231" t="n">
        <f aca="false">IF(L59&lt;&gt;1, IF(G59&lt;E59,0,D59),IF(L59=1,IFERROR(ROUND(IF($G59 - (E59 * 6) &lt; 0, D59, ($G59 - (E59 * 6)) * $D$8 / 12),2),0) ) )</f>
        <v>20.65</v>
      </c>
      <c r="E60" s="231" t="n">
        <f aca="false">IF(ISERROR(A60), 0,  MAX(0,   MIN(    ROUND(G59 + D60, 2),    ROUND(FV($S$5, IF(type=1, A60, A59), , IF(J60&lt;&gt;1, -$D$20, -$P$16 + P60), 2), 0)   )  ) )</f>
        <v>18</v>
      </c>
      <c r="F60" s="231" t="str">
        <f aca="false">IF(J60&lt;&gt;1, "", IF(J59&lt;&gt;0, F59, $K$12))</f>
        <v/>
      </c>
      <c r="G60" s="232" t="n">
        <f aca="false">IF(ISERROR(A60),"",ROUND(G59-E60+D60,2))</f>
        <v>5077.32</v>
      </c>
      <c r="H60" s="237" t="n">
        <f aca="false">IF(G60&gt;0,IFERROR(H59+(H59*($D$16/12)),""),"")</f>
        <v>19.4094210541722</v>
      </c>
      <c r="I60" s="223" t="n">
        <f aca="false">IF(ISERROR(A61),"",12 - MONTH(B60))</f>
        <v>7</v>
      </c>
      <c r="J60" s="224" t="n">
        <f aca="false">K60</f>
        <v>0</v>
      </c>
      <c r="K60" s="225" t="n">
        <f aca="false">_xlfn.IFNA(IF(B60&gt;=$K$11, 1,0),0)</f>
        <v>0</v>
      </c>
      <c r="L60" s="60" t="str">
        <f aca="false">IF(I60=0,1,"")</f>
        <v/>
      </c>
      <c r="M60" s="284" t="s">
        <v>176</v>
      </c>
      <c r="N60" s="287" t="n">
        <f aca="false">N59/M52</f>
        <v>26.1538461538462</v>
      </c>
      <c r="O60" s="282"/>
      <c r="P60" s="4" t="n">
        <f aca="false">IF(AND(G60&gt;E60, A60&lt;&gt;0, V60&lt;&gt;0), $N$5 * ($P$22 ^ V60 - 1), 0)</f>
        <v>0</v>
      </c>
      <c r="Q60" s="69" t="s">
        <v>177</v>
      </c>
      <c r="T60" s="274"/>
      <c r="U60" s="75"/>
      <c r="V60" s="71" t="n">
        <f aca="false">IF(B60&lt;EDATE($K$11,12), 0,  DATEDIF(EDATE($K$11,12), B60 + 1, "y") + 1 )</f>
        <v>0</v>
      </c>
    </row>
    <row r="61" customFormat="false" ht="12.75" hidden="false" customHeight="true" outlineLevel="0" collapsed="false">
      <c r="A61" s="228" t="n">
        <f aca="false">IF(OR(G60="",G60&lt;=0,C60&gt;150),NA(),A60+1)</f>
        <v>33</v>
      </c>
      <c r="B61" s="229" t="n">
        <f aca="false">IF(ISERROR(A61),"",IF($D$9="Annually",EDATE(B60,12),EDATE(B60,1)))</f>
        <v>47297</v>
      </c>
      <c r="C61" s="230" t="n">
        <f aca="false">IF(ISERROR(A61),"",C60+IF($D$9="Monthly",1/12,1))</f>
        <v>63.8000000000001</v>
      </c>
      <c r="D61" s="231" t="n">
        <f aca="false">IF(L60&lt;&gt;1, IF(G60&lt;E60,0,D60),IF(L60=1,IFERROR(ROUND(IF($G60 - (E60 * 6) &lt; 0, D60, ($G60 - (E60 * 6)) * $D$8 / 12),2),0) ) )</f>
        <v>20.65</v>
      </c>
      <c r="E61" s="231" t="n">
        <f aca="false">IF(ISERROR(A61), 0,  MAX(0,   MIN(    ROUND(G60 + D61, 2),    ROUND(FV($S$5, IF(type=1, A61, A60), , IF(J61&lt;&gt;1, -$D$20, -$P$16 + P61), 2), 0)   )  ) )</f>
        <v>18</v>
      </c>
      <c r="F61" s="231" t="str">
        <f aca="false">IF(J61&lt;&gt;1, "", IF(J60&lt;&gt;0, F60, $K$12))</f>
        <v/>
      </c>
      <c r="G61" s="232" t="n">
        <f aca="false">IF(ISERROR(A61),"",ROUND(G60-E61+D61,2))</f>
        <v>5079.97</v>
      </c>
      <c r="H61" s="233" t="n">
        <f aca="false">IF(G61&gt;0,IFERROR(H60+(H60*($D$16/12)),""),"")</f>
        <v>19.4417700892625</v>
      </c>
      <c r="I61" s="223" t="n">
        <f aca="false">IF(ISERROR(A62),"",12 - MONTH(B61))</f>
        <v>6</v>
      </c>
      <c r="J61" s="224" t="n">
        <f aca="false">K61</f>
        <v>0</v>
      </c>
      <c r="K61" s="225" t="n">
        <f aca="false">_xlfn.IFNA(IF(B61&gt;=$K$11, 1,0),0)</f>
        <v>0</v>
      </c>
      <c r="L61" s="60" t="str">
        <f aca="false">IF(I61=0,1,"")</f>
        <v/>
      </c>
      <c r="M61" s="282"/>
      <c r="N61" s="266"/>
      <c r="O61" s="282"/>
      <c r="P61" s="4" t="n">
        <f aca="false">IF(AND(G61&gt;E61, A61&lt;&gt;0, V61&lt;&gt;0), $N$5 * ($P$22 ^ V61 - 1), 0)</f>
        <v>0</v>
      </c>
      <c r="Q61" s="69" t="str">
        <f aca="false">M39</f>
        <v>Work Income</v>
      </c>
      <c r="T61" s="274"/>
      <c r="U61" s="75"/>
      <c r="V61" s="71" t="n">
        <f aca="false">IF(B61&lt;EDATE($K$11,12), 0,  DATEDIF(EDATE($K$11,12), B61 + 1, "y") + 1 )</f>
        <v>0</v>
      </c>
    </row>
    <row r="62" customFormat="false" ht="12.75" hidden="false" customHeight="true" outlineLevel="0" collapsed="false">
      <c r="A62" s="228" t="n">
        <f aca="false">IF(OR(G61="",G61&lt;=0,C61&gt;150),NA(),A61+1)</f>
        <v>34</v>
      </c>
      <c r="B62" s="229" t="n">
        <f aca="false">IF(ISERROR(A62),"",IF($D$9="Annually",EDATE(B61,12),EDATE(B61,1)))</f>
        <v>47327</v>
      </c>
      <c r="C62" s="230" t="n">
        <f aca="false">IF(ISERROR(A62),"",C61+IF($D$9="Monthly",1/12,1))</f>
        <v>63.8833333333334</v>
      </c>
      <c r="D62" s="231" t="n">
        <f aca="false">IF(L61&lt;&gt;1, IF(G61&lt;E61,0,D61),IF(L61=1,IFERROR(ROUND(IF($G61 - (E61 * 6) &lt; 0, D61, ($G61 - (E61 * 6)) * $D$8 / 12),2),0) ) )</f>
        <v>20.65</v>
      </c>
      <c r="E62" s="231" t="n">
        <f aca="false">IF(ISERROR(A62), 0,  MAX(0,   MIN(    ROUND(G61 + D62, 2),    ROUND(FV($S$5, IF(type=1, A62, A61), , IF(J62&lt;&gt;1, -$D$20, -$P$16 + P62), 2), 0)   )  ) )</f>
        <v>18</v>
      </c>
      <c r="F62" s="231" t="str">
        <f aca="false">IF(J62&lt;&gt;1, "", IF(J61&lt;&gt;0, F61, $K$12))</f>
        <v/>
      </c>
      <c r="G62" s="232" t="n">
        <f aca="false">IF(ISERROR(A62),"",ROUND(G61-E62+D62,2))</f>
        <v>5082.62</v>
      </c>
      <c r="H62" s="237" t="n">
        <f aca="false">IF(G62&gt;0,IFERROR(H61+(H61*($D$16/12)),""),"")</f>
        <v>19.4741730394113</v>
      </c>
      <c r="I62" s="223" t="n">
        <f aca="false">IF(ISERROR(A63),"",12 - MONTH(B62))</f>
        <v>5</v>
      </c>
      <c r="J62" s="224" t="n">
        <f aca="false">K62</f>
        <v>0</v>
      </c>
      <c r="K62" s="225" t="n">
        <f aca="false">_xlfn.IFNA(IF(B62&gt;=$K$11, 1,0),0)</f>
        <v>0</v>
      </c>
      <c r="L62" s="60" t="str">
        <f aca="false">IF(I62=0,1,"")</f>
        <v/>
      </c>
      <c r="M62" s="284" t="s">
        <v>178</v>
      </c>
      <c r="N62" s="287" t="n">
        <f aca="false">N58/M52/40/4.333333</f>
        <v>7.84615444970419</v>
      </c>
      <c r="O62" s="282" t="s">
        <v>179</v>
      </c>
      <c r="P62" s="4" t="n">
        <f aca="false">IF(AND(G62&gt;E62, A62&lt;&gt;0, V62&lt;&gt;0), $N$5 * ($P$22 ^ V62 - 1), 0)</f>
        <v>0</v>
      </c>
      <c r="Q62" s="69" t="s">
        <v>180</v>
      </c>
      <c r="T62" s="274"/>
      <c r="U62" s="75"/>
      <c r="V62" s="71" t="n">
        <f aca="false">IF(B62&lt;EDATE($K$11,12), 0,  DATEDIF(EDATE($K$11,12), B62 + 1, "y") + 1 )</f>
        <v>0</v>
      </c>
    </row>
    <row r="63" customFormat="false" ht="12.75" hidden="false" customHeight="true" outlineLevel="0" collapsed="false">
      <c r="A63" s="228" t="n">
        <f aca="false">IF(OR(G62="",G62&lt;=0,C62&gt;150),NA(),A62+1)</f>
        <v>35</v>
      </c>
      <c r="B63" s="229" t="n">
        <f aca="false">IF(ISERROR(A63),"",IF($D$9="Annually",EDATE(B62,12),EDATE(B62,1)))</f>
        <v>47358</v>
      </c>
      <c r="C63" s="230" t="n">
        <f aca="false">IF(ISERROR(A63),"",C62+IF($D$9="Monthly",1/12,1))</f>
        <v>63.9666666666668</v>
      </c>
      <c r="D63" s="231" t="n">
        <f aca="false">IF(L62&lt;&gt;1, IF(G62&lt;E62,0,D62),IF(L62=1,IFERROR(ROUND(IF($G62 - (E62 * 6) &lt; 0, D62, ($G62 - (E62 * 6)) * $D$8 / 12),2),0) ) )</f>
        <v>20.65</v>
      </c>
      <c r="E63" s="231" t="n">
        <f aca="false">IF(ISERROR(A63), 0,  MAX(0,   MIN(    ROUND(G62 + D63, 2),    ROUND(FV($S$5, IF(type=1, A63, A62), , IF(J63&lt;&gt;1, -$D$20, -$P$16 + P63), 2), 0)   )  ) )</f>
        <v>18</v>
      </c>
      <c r="F63" s="231" t="str">
        <f aca="false">IF(J63&lt;&gt;1, "", IF(J62&lt;&gt;0, F62, $K$12))</f>
        <v/>
      </c>
      <c r="G63" s="232" t="n">
        <f aca="false">IF(ISERROR(A63),"",ROUND(G62-E63+D63,2))</f>
        <v>5085.27</v>
      </c>
      <c r="H63" s="233" t="n">
        <f aca="false">IF(G63&gt;0,IFERROR(H62+(H62*($D$16/12)),""),"")</f>
        <v>19.5066299944769</v>
      </c>
      <c r="I63" s="223" t="n">
        <f aca="false">IF(ISERROR(A64),"",12 - MONTH(B63))</f>
        <v>4</v>
      </c>
      <c r="J63" s="224" t="n">
        <f aca="false">K63</f>
        <v>0</v>
      </c>
      <c r="K63" s="225" t="n">
        <f aca="false">_xlfn.IFNA(IF(B63&gt;=$K$11, 1,0),0)</f>
        <v>0</v>
      </c>
      <c r="L63" s="60" t="str">
        <f aca="false">IF(I63=0,1,"")</f>
        <v/>
      </c>
      <c r="M63" s="282"/>
      <c r="N63" s="266"/>
      <c r="O63" s="282"/>
      <c r="P63" s="4" t="n">
        <f aca="false">IF(AND(G63&gt;E63, A63&lt;&gt;0, V63&lt;&gt;0), $N$5 * ($P$22 ^ V63 - 1), 0)</f>
        <v>0</v>
      </c>
      <c r="Q63" s="69" t="s">
        <v>181</v>
      </c>
      <c r="T63" s="274"/>
      <c r="U63" s="75"/>
      <c r="V63" s="71" t="n">
        <f aca="false">IF(B63&lt;EDATE($K$11,12), 0,  DATEDIF(EDATE($K$11,12), B63 + 1, "y") + 1 )</f>
        <v>0</v>
      </c>
    </row>
    <row r="64" customFormat="false" ht="12.75" hidden="false" customHeight="true" outlineLevel="0" collapsed="false">
      <c r="A64" s="228" t="n">
        <f aca="false">IF(OR(G63="",G63&lt;=0,C63&gt;150),NA(),A63+1)</f>
        <v>36</v>
      </c>
      <c r="B64" s="229" t="n">
        <f aca="false">IF(ISERROR(A64),"",IF($D$9="Annually",EDATE(B63,12),EDATE(B63,1)))</f>
        <v>47389</v>
      </c>
      <c r="C64" s="230" t="n">
        <f aca="false">IF(ISERROR(A64),"",C63+IF($D$9="Monthly",1/12,1))</f>
        <v>64.0500000000001</v>
      </c>
      <c r="D64" s="231" t="n">
        <f aca="false">IF(L63&lt;&gt;1, IF(G63&lt;E63,0,D63),IF(L63=1,IFERROR(ROUND(IF($G63 - (E63 * 6) &lt; 0, D63, ($G63 - (E63 * 6)) * $D$8 / 12),2),0) ) )</f>
        <v>20.65</v>
      </c>
      <c r="E64" s="231" t="n">
        <f aca="false">IF(ISERROR(A64), 0,  MAX(0,   MIN(    ROUND(G63 + D64, 2),    ROUND(FV($S$5, IF(type=1, A64, A63), , IF(J64&lt;&gt;1, -$D$20, -$P$16 + P64), 2), 0)   )  ) )</f>
        <v>18</v>
      </c>
      <c r="F64" s="231" t="str">
        <f aca="false">IF(J64&lt;&gt;1, "", IF(J63&lt;&gt;0, F63, $K$12))</f>
        <v/>
      </c>
      <c r="G64" s="232" t="n">
        <f aca="false">IF(ISERROR(A64),"",ROUND(G63-E64+D64,2))</f>
        <v>5087.92</v>
      </c>
      <c r="H64" s="237" t="n">
        <f aca="false">IF(G64&gt;0,IFERROR(H63+(H63*($D$16/12)),""),"")</f>
        <v>19.5391410444677</v>
      </c>
      <c r="I64" s="223" t="n">
        <f aca="false">IF(ISERROR(A65),"",12 - MONTH(B64))</f>
        <v>3</v>
      </c>
      <c r="J64" s="224" t="n">
        <f aca="false">K64</f>
        <v>0</v>
      </c>
      <c r="K64" s="225" t="n">
        <f aca="false">_xlfn.IFNA(IF(B64&gt;=$K$11, 1,0),0)</f>
        <v>0</v>
      </c>
      <c r="L64" s="60" t="str">
        <f aca="false">IF(I64=0,1,"")</f>
        <v/>
      </c>
      <c r="M64" s="284" t="str">
        <f aca="false">"15 hours a week at $" &amp; $M$52 &amp; " an hour"</f>
        <v>15 hours a week at $18 an hour</v>
      </c>
      <c r="N64" s="271" t="n">
        <f aca="false">15*M52*52</f>
        <v>14040</v>
      </c>
      <c r="O64" s="282" t="s">
        <v>182</v>
      </c>
      <c r="P64" s="4" t="n">
        <f aca="false">IF(AND(G64&gt;E64, A64&lt;&gt;0, V64&lt;&gt;0), $N$5 * ($P$22 ^ V64 - 1), 0)</f>
        <v>0</v>
      </c>
      <c r="Q64" s="69" t="str">
        <f aca="false">O37</f>
        <v>Annuities</v>
      </c>
      <c r="T64" s="274"/>
      <c r="U64" s="75"/>
      <c r="V64" s="71" t="n">
        <f aca="false">IF(B64&lt;EDATE($K$11,12), 0,  DATEDIF(EDATE($K$11,12), B64 + 1, "y") + 1 )</f>
        <v>0</v>
      </c>
    </row>
    <row r="65" customFormat="false" ht="12.75" hidden="false" customHeight="true" outlineLevel="0" collapsed="false">
      <c r="A65" s="228" t="n">
        <f aca="false">IF(OR(G64="",G64&lt;=0,C64&gt;150),NA(),A64+1)</f>
        <v>37</v>
      </c>
      <c r="B65" s="229" t="n">
        <f aca="false">IF(ISERROR(A65),"",IF($D$9="Annually",EDATE(B64,12),EDATE(B64,1)))</f>
        <v>47419</v>
      </c>
      <c r="C65" s="230" t="n">
        <f aca="false">IF(ISERROR(A65),"",C64+IF($D$9="Monthly",1/12,1))</f>
        <v>64.1333333333334</v>
      </c>
      <c r="D65" s="231" t="n">
        <f aca="false">IF(L64&lt;&gt;1, IF(G64&lt;E64,0,D64),IF(L64=1,IFERROR(ROUND(IF($G64 - (E64 * 6) &lt; 0, D64, ($G64 - (E64 * 6)) * $D$8 / 12),2),0) ) )</f>
        <v>20.65</v>
      </c>
      <c r="E65" s="231" t="n">
        <f aca="false">IF(ISERROR(A65), 0,  MAX(0,   MIN(    ROUND(G64 + D65, 2),    ROUND(FV($S$5, IF(type=1, A65, A64), , IF(J65&lt;&gt;1, -$D$20, -$P$16 + P65), 2), 0)   )  ) )</f>
        <v>18</v>
      </c>
      <c r="F65" s="231" t="str">
        <f aca="false">IF(J65&lt;&gt;1, "", IF(J64&lt;&gt;0, F64, $K$12))</f>
        <v/>
      </c>
      <c r="G65" s="232" t="n">
        <f aca="false">IF(ISERROR(A65),"",ROUND(G64-E65+D65,2))</f>
        <v>5090.57</v>
      </c>
      <c r="H65" s="233" t="n">
        <f aca="false">IF(G65&gt;0,IFERROR(H64+(H64*($D$16/12)),""),"")</f>
        <v>19.5717062795419</v>
      </c>
      <c r="I65" s="223" t="n">
        <f aca="false">IF(ISERROR(A66),"",12 - MONTH(B65))</f>
        <v>2</v>
      </c>
      <c r="J65" s="224" t="n">
        <f aca="false">K65</f>
        <v>0</v>
      </c>
      <c r="K65" s="225" t="n">
        <f aca="false">_xlfn.IFNA(IF(B65&gt;=$K$11, 1,0),0)</f>
        <v>0</v>
      </c>
      <c r="L65" s="60" t="str">
        <f aca="false">IF(I65=0,1,"")</f>
        <v/>
      </c>
      <c r="M65" s="284" t="str">
        <f aca="false">"20 hours a week at $" &amp; $M$52 &amp; " an hour"</f>
        <v>20 hours a week at $18 an hour</v>
      </c>
      <c r="N65" s="271" t="n">
        <f aca="false">20*M52*52</f>
        <v>18720</v>
      </c>
      <c r="O65" s="282" t="s">
        <v>182</v>
      </c>
      <c r="P65" s="4" t="n">
        <f aca="false">IF(AND(G65&gt;E65, A65&lt;&gt;0, V65&lt;&gt;0), $N$5 * ($P$22 ^ V65 - 1), 0)</f>
        <v>0</v>
      </c>
      <c r="Q65" s="69" t="str">
        <f aca="false">O38</f>
        <v>Dividends</v>
      </c>
      <c r="T65" s="274"/>
      <c r="U65" s="75"/>
      <c r="V65" s="71" t="n">
        <f aca="false">IF(B65&lt;EDATE($K$11,12), 0,  DATEDIF(EDATE($K$11,12), B65 + 1, "y") + 1 )</f>
        <v>0</v>
      </c>
    </row>
    <row r="66" customFormat="false" ht="12.75" hidden="false" customHeight="true" outlineLevel="0" collapsed="false">
      <c r="A66" s="228" t="n">
        <f aca="false">IF(OR(G65="",G65&lt;=0,C65&gt;150),NA(),A65+1)</f>
        <v>38</v>
      </c>
      <c r="B66" s="229" t="n">
        <f aca="false">IF(ISERROR(A66),"",IF($D$9="Annually",EDATE(B65,12),EDATE(B65,1)))</f>
        <v>47450</v>
      </c>
      <c r="C66" s="230" t="n">
        <f aca="false">IF(ISERROR(A66),"",C65+IF($D$9="Monthly",1/12,1))</f>
        <v>64.2166666666667</v>
      </c>
      <c r="D66" s="231" t="n">
        <f aca="false">IF(L65&lt;&gt;1, IF(G65&lt;E65,0,D65),IF(L65=1,IFERROR(ROUND(IF($G65 - (E65 * 6) &lt; 0, D65, ($G65 - (E65 * 6)) * $D$8 / 12),2),0) ) )</f>
        <v>20.65</v>
      </c>
      <c r="E66" s="231" t="n">
        <f aca="false">IF(ISERROR(A66), 0,  MAX(0,   MIN(    ROUND(G65 + D66, 2),    ROUND(FV($S$5, IF(type=1, A66, A65), , IF(J66&lt;&gt;1, -$D$20, -$P$16 + P66), 2), 0)   )  ) )</f>
        <v>18</v>
      </c>
      <c r="F66" s="231" t="str">
        <f aca="false">IF(J66&lt;&gt;1, "", IF(J65&lt;&gt;0, F65, $K$12))</f>
        <v/>
      </c>
      <c r="G66" s="232" t="n">
        <f aca="false">IF(ISERROR(A66),"",ROUND(G65-E66+D66,2))</f>
        <v>5093.22</v>
      </c>
      <c r="H66" s="237" t="n">
        <f aca="false">IF(G66&gt;0,IFERROR(H65+(H65*($D$16/12)),""),"")</f>
        <v>19.6043257900078</v>
      </c>
      <c r="I66" s="223" t="n">
        <f aca="false">IF(ISERROR(A67),"",12 - MONTH(B66))</f>
        <v>1</v>
      </c>
      <c r="J66" s="224" t="n">
        <f aca="false">K66</f>
        <v>0</v>
      </c>
      <c r="K66" s="225" t="n">
        <f aca="false">_xlfn.IFNA(IF(B66&gt;=$K$11, 1,0),0)</f>
        <v>0</v>
      </c>
      <c r="L66" s="60" t="str">
        <f aca="false">IF(I66=0,1,"")</f>
        <v/>
      </c>
      <c r="M66" s="284" t="str">
        <f aca="false">"25 hours a week at $" &amp; $M$52 &amp; " an hour"</f>
        <v>25 hours a week at $18 an hour</v>
      </c>
      <c r="N66" s="271" t="n">
        <f aca="false">25*M52*52</f>
        <v>23400</v>
      </c>
      <c r="O66" s="282" t="s">
        <v>182</v>
      </c>
      <c r="P66" s="4" t="n">
        <f aca="false">IF(AND(G66&gt;E66, A66&lt;&gt;0, V66&lt;&gt;0), $N$5 * ($P$22 ^ V66 - 1), 0)</f>
        <v>0</v>
      </c>
      <c r="Q66" s="69" t="str">
        <f aca="false">O39</f>
        <v>Wife’s 401k</v>
      </c>
      <c r="T66" s="274"/>
      <c r="U66" s="75"/>
      <c r="V66" s="71" t="n">
        <f aca="false">IF(B66&lt;EDATE($K$11,12), 0,  DATEDIF(EDATE($K$11,12), B66 + 1, "y") + 1 )</f>
        <v>0</v>
      </c>
    </row>
    <row r="67" customFormat="false" ht="12.75" hidden="false" customHeight="true" outlineLevel="0" collapsed="false">
      <c r="A67" s="228" t="n">
        <f aca="false">IF(OR(G66="",G66&lt;=0,C66&gt;150),NA(),A66+1)</f>
        <v>39</v>
      </c>
      <c r="B67" s="229" t="n">
        <f aca="false">IF(ISERROR(A67),"",IF($D$9="Annually",EDATE(B66,12),EDATE(B66,1)))</f>
        <v>47480</v>
      </c>
      <c r="C67" s="230" t="n">
        <f aca="false">IF(ISERROR(A67),"",C66+IF($D$9="Monthly",1/12,1))</f>
        <v>64.3000000000001</v>
      </c>
      <c r="D67" s="231" t="n">
        <f aca="false">IF(L66&lt;&gt;1, IF(G66&lt;E66,0,D66),IF(L66=1,IFERROR(ROUND(IF($G66 - (E66 * 6) &lt; 0, D66, ($G66 - (E66 * 6)) * $D$8 / 12),2),0) ) )</f>
        <v>20.65</v>
      </c>
      <c r="E67" s="231" t="n">
        <f aca="false">IF(ISERROR(A67), 0,  MAX(0,   MIN(    ROUND(G66 + D67, 2),    ROUND(FV($S$5, IF(type=1, A67, A66), , IF(J67&lt;&gt;1, -$D$20, -$P$16 + P67), 2), 0)   )  ) )</f>
        <v>18</v>
      </c>
      <c r="F67" s="231" t="str">
        <f aca="false">IF(J67&lt;&gt;1, "", IF(J66&lt;&gt;0, F66, $K$12))</f>
        <v/>
      </c>
      <c r="G67" s="232" t="n">
        <f aca="false">IF(ISERROR(A67),"",ROUND(G66-E67+D67,2))</f>
        <v>5095.87</v>
      </c>
      <c r="H67" s="233" t="n">
        <f aca="false">IF(G67&gt;0,IFERROR(H66+(H66*($D$16/12)),""),"")</f>
        <v>19.6369996663244</v>
      </c>
      <c r="I67" s="223" t="n">
        <f aca="false">IF(ISERROR(A68),"",12 - MONTH(B67))</f>
        <v>0</v>
      </c>
      <c r="J67" s="224" t="n">
        <f aca="false">K67</f>
        <v>0</v>
      </c>
      <c r="K67" s="225" t="n">
        <f aca="false">_xlfn.IFNA(IF(B67&gt;=$K$11, 1,0),0)</f>
        <v>0</v>
      </c>
      <c r="L67" s="60" t="n">
        <f aca="false">IF(I67=0,1,"")</f>
        <v>1</v>
      </c>
      <c r="M67" s="284" t="str">
        <f aca="false">"30 hours a week at $" &amp; $M$52 &amp; " an hour"</f>
        <v>30 hours a week at $18 an hour</v>
      </c>
      <c r="N67" s="271" t="n">
        <f aca="false">30*M52*52</f>
        <v>28080</v>
      </c>
      <c r="O67" s="282" t="s">
        <v>182</v>
      </c>
      <c r="P67" s="4" t="n">
        <f aca="false">IF(AND(G67&gt;E67, A67&lt;&gt;0, V67&lt;&gt;0), $N$5 * ($P$22 ^ V67 - 1), 0)</f>
        <v>0</v>
      </c>
      <c r="Q67" s="69" t="str">
        <f aca="false">O40</f>
        <v>Wife Annuity</v>
      </c>
      <c r="T67" s="274"/>
      <c r="U67" s="75"/>
      <c r="V67" s="71" t="n">
        <f aca="false">IF(B67&lt;EDATE($K$11,12), 0,  DATEDIF(EDATE($K$11,12), B67 + 1, "y") + 1 )</f>
        <v>0</v>
      </c>
    </row>
    <row r="68" customFormat="false" ht="12.75" hidden="false" customHeight="true" outlineLevel="0" collapsed="false">
      <c r="A68" s="228" t="n">
        <f aca="false">IF(OR(G67="",G67&lt;=0,C67&gt;150),NA(),A67+1)</f>
        <v>40</v>
      </c>
      <c r="B68" s="229" t="n">
        <f aca="false">IF(ISERROR(A68),"",IF($D$9="Annually",EDATE(B67,12),EDATE(B67,1)))</f>
        <v>47511</v>
      </c>
      <c r="C68" s="230" t="n">
        <f aca="false">IF(ISERROR(A68),"",C67+IF($D$9="Monthly",1/12,1))</f>
        <v>64.3833333333334</v>
      </c>
      <c r="D68" s="231" t="n">
        <f aca="false">IF(L67&lt;&gt;1, IF(G67&lt;E67,0,D67),IF(L67=1,IFERROR(ROUND(IF($G67 - (E67 * 6) &lt; 0, D67, ($G67 - (E67 * 6)) * $D$8 / 12),2),0) ) )</f>
        <v>20.78</v>
      </c>
      <c r="E68" s="231" t="n">
        <f aca="false">IF(ISERROR(A68), 0,  MAX(0,   MIN(    ROUND(G67 + D68, 2),    ROUND(FV($S$5, IF(type=1, A68, A67), , IF(J68&lt;&gt;1, -$D$20, -$P$16 + P68), 2), 0)   )  ) )</f>
        <v>18</v>
      </c>
      <c r="F68" s="231" t="str">
        <f aca="false">IF(J68&lt;&gt;1, "", IF(J67&lt;&gt;0, F67, $K$12))</f>
        <v/>
      </c>
      <c r="G68" s="232" t="n">
        <f aca="false">IF(ISERROR(A68),"",ROUND(G67-E68+D68,2))</f>
        <v>5098.65</v>
      </c>
      <c r="H68" s="237" t="n">
        <f aca="false">IF(G68&gt;0,IFERROR(H67+(H67*($D$16/12)),""),"")</f>
        <v>19.6697279991016</v>
      </c>
      <c r="I68" s="223" t="n">
        <f aca="false">IF(ISERROR(A69),"",12 - MONTH(B68))</f>
        <v>11</v>
      </c>
      <c r="J68" s="224" t="n">
        <f aca="false">K68</f>
        <v>0</v>
      </c>
      <c r="K68" s="225" t="n">
        <f aca="false">_xlfn.IFNA(IF(B68&gt;=$K$11, 1,0),0)</f>
        <v>0</v>
      </c>
      <c r="L68" s="60" t="str">
        <f aca="false">IF(I68=0,1,"")</f>
        <v/>
      </c>
      <c r="P68" s="4" t="n">
        <f aca="false">IF(AND(G68&gt;E68, A68&lt;&gt;0, V68&lt;&gt;0), $N$5 * ($P$22 ^ V68 - 1), 0)</f>
        <v>0</v>
      </c>
      <c r="Q68" s="69" t="str">
        <f aca="false">O41</f>
        <v>Bonds Interest</v>
      </c>
      <c r="V68" s="71" t="n">
        <f aca="false">IF(B68&lt;EDATE($K$11,12), 0,  DATEDIF(EDATE($K$11,12), B68 + 1, "y") + 1 )</f>
        <v>0</v>
      </c>
    </row>
    <row r="69" customFormat="false" ht="12.75" hidden="false" customHeight="true" outlineLevel="0" collapsed="false">
      <c r="A69" s="228" t="n">
        <f aca="false">IF(OR(G68="",G68&lt;=0,C68&gt;150),NA(),A68+1)</f>
        <v>41</v>
      </c>
      <c r="B69" s="229" t="n">
        <f aca="false">IF(ISERROR(A69),"",IF($D$9="Annually",EDATE(B68,12),EDATE(B68,1)))</f>
        <v>47542</v>
      </c>
      <c r="C69" s="230" t="n">
        <f aca="false">IF(ISERROR(A69),"",C68+IF($D$9="Monthly",1/12,1))</f>
        <v>64.4666666666667</v>
      </c>
      <c r="D69" s="231" t="n">
        <f aca="false">IF(L68&lt;&gt;1, IF(G68&lt;E68,0,D68),IF(L68=1,IFERROR(ROUND(IF($G68 - (E68 * 6) &lt; 0, D68, ($G68 - (E68 * 6)) * $D$8 / 12),2),0) ) )</f>
        <v>20.78</v>
      </c>
      <c r="E69" s="231" t="n">
        <f aca="false">IF(ISERROR(A69), 0,  MAX(0,   MIN(    ROUND(G68 + D69, 2),    ROUND(FV($S$5, IF(type=1, A69, A68), , IF(J69&lt;&gt;1, -$D$20, -$P$16 + P69), 2), 0)   )  ) )</f>
        <v>18</v>
      </c>
      <c r="F69" s="231" t="str">
        <f aca="false">IF(J69&lt;&gt;1, "", IF(J68&lt;&gt;0, F68, $K$12))</f>
        <v/>
      </c>
      <c r="G69" s="232" t="n">
        <f aca="false">IF(ISERROR(A69),"",ROUND(G68-E69+D69,2))</f>
        <v>5101.43</v>
      </c>
      <c r="H69" s="233" t="n">
        <f aca="false">IF(G69&gt;0,IFERROR(H68+(H68*($D$16/12)),""),"")</f>
        <v>19.7025108791001</v>
      </c>
      <c r="I69" s="223" t="n">
        <f aca="false">IF(ISERROR(A70),"",12 - MONTH(B69))</f>
        <v>10</v>
      </c>
      <c r="J69" s="224" t="n">
        <f aca="false">K69</f>
        <v>0</v>
      </c>
      <c r="K69" s="225" t="n">
        <f aca="false">_xlfn.IFNA(IF(B69&gt;=$K$11, 1,0),0)</f>
        <v>0</v>
      </c>
      <c r="L69" s="60" t="str">
        <f aca="false">IF(I69=0,1,"")</f>
        <v/>
      </c>
      <c r="O69" s="1"/>
      <c r="P69" s="4" t="n">
        <f aca="false">IF(AND(G69&gt;E69, A69&lt;&gt;0, V69&lt;&gt;0), $N$5 * ($P$22 ^ V69 - 1), 0)</f>
        <v>0</v>
      </c>
      <c r="Q69" s="1"/>
      <c r="V69" s="71" t="n">
        <f aca="false">IF(B69&lt;EDATE($K$11,12), 0,  DATEDIF(EDATE($K$11,12), B69 + 1, "y") + 1 )</f>
        <v>0</v>
      </c>
    </row>
    <row r="70" customFormat="false" ht="12.75" hidden="false" customHeight="true" outlineLevel="0" collapsed="false">
      <c r="A70" s="228" t="n">
        <f aca="false">IF(OR(G69="",G69&lt;=0,C69&gt;150),NA(),A69+1)</f>
        <v>42</v>
      </c>
      <c r="B70" s="229" t="n">
        <f aca="false">IF(ISERROR(A70),"",IF($D$9="Annually",EDATE(B69,12),EDATE(B69,1)))</f>
        <v>47570</v>
      </c>
      <c r="C70" s="230" t="n">
        <f aca="false">IF(ISERROR(A70),"",C69+IF($D$9="Monthly",1/12,1))</f>
        <v>64.5500000000001</v>
      </c>
      <c r="D70" s="231" t="n">
        <f aca="false">IF(L69&lt;&gt;1, IF(G69&lt;E69,0,D69),IF(L69=1,IFERROR(ROUND(IF($G69 - (E69 * 6) &lt; 0, D69, ($G69 - (E69 * 6)) * $D$8 / 12),2),0) ) )</f>
        <v>20.78</v>
      </c>
      <c r="E70" s="231" t="n">
        <f aca="false">IF(ISERROR(A70), 0,  MAX(0,   MIN(    ROUND(G69 + D70, 2),    ROUND(FV($S$5, IF(type=1, A70, A69), , IF(J70&lt;&gt;1, -$D$20, -$P$16 + P70), 2), 0)   )  ) )</f>
        <v>18</v>
      </c>
      <c r="F70" s="231" t="str">
        <f aca="false">IF(J70&lt;&gt;1, "", IF(J69&lt;&gt;0, F69, $K$12))</f>
        <v/>
      </c>
      <c r="G70" s="232" t="n">
        <f aca="false">IF(ISERROR(A70),"",ROUND(G69-E70+D70,2))</f>
        <v>5104.21</v>
      </c>
      <c r="H70" s="237" t="n">
        <f aca="false">IF(G70&gt;0,IFERROR(H69+(H69*($D$16/12)),""),"")</f>
        <v>19.735348397232</v>
      </c>
      <c r="I70" s="223" t="n">
        <f aca="false">IF(ISERROR(A71),"",12 - MONTH(B70))</f>
        <v>9</v>
      </c>
      <c r="J70" s="224" t="n">
        <f aca="false">K70</f>
        <v>0</v>
      </c>
      <c r="K70" s="225" t="n">
        <f aca="false">_xlfn.IFNA(IF(B70&gt;=$K$11, 1,0),0)</f>
        <v>0</v>
      </c>
      <c r="L70" s="60" t="str">
        <f aca="false">IF(I70=0,1,"")</f>
        <v/>
      </c>
      <c r="O70" s="1"/>
      <c r="P70" s="4" t="n">
        <f aca="false">IF(AND(G70&gt;E70, A70&lt;&gt;0, V70&lt;&gt;0), $N$5 * ($P$22 ^ V70 - 1), 0)</f>
        <v>0</v>
      </c>
      <c r="Q70" s="1"/>
      <c r="V70" s="71" t="n">
        <f aca="false">IF(B70&lt;EDATE($K$11,12), 0,  DATEDIF(EDATE($K$11,12), B70 + 1, "y") + 1 )</f>
        <v>0</v>
      </c>
    </row>
    <row r="71" customFormat="false" ht="12.75" hidden="false" customHeight="true" outlineLevel="0" collapsed="false">
      <c r="A71" s="228" t="n">
        <f aca="false">IF(OR(G70="",G70&lt;=0,C70&gt;150),NA(),A70+1)</f>
        <v>43</v>
      </c>
      <c r="B71" s="229" t="n">
        <f aca="false">IF(ISERROR(A71),"",IF($D$9="Annually",EDATE(B70,12),EDATE(B70,1)))</f>
        <v>47601</v>
      </c>
      <c r="C71" s="230" t="n">
        <f aca="false">IF(ISERROR(A71),"",C70+IF($D$9="Monthly",1/12,1))</f>
        <v>64.6333333333334</v>
      </c>
      <c r="D71" s="231" t="n">
        <f aca="false">IF(L70&lt;&gt;1, IF(G70&lt;E70,0,D70),IF(L70=1,IFERROR(ROUND(IF($G70 - (E70 * 6) &lt; 0, D70, ($G70 - (E70 * 6)) * $D$8 / 12),2),0) ) )</f>
        <v>20.78</v>
      </c>
      <c r="E71" s="231" t="n">
        <f aca="false">IF(ISERROR(A71), 0,  MAX(0,   MIN(    ROUND(G70 + D71, 2),    ROUND(FV($S$5, IF(type=1, A71, A70), , IF(J71&lt;&gt;1, -$D$20, -$P$16 + P71), 2), 0)   )  ) )</f>
        <v>18</v>
      </c>
      <c r="F71" s="231" t="str">
        <f aca="false">IF(J71&lt;&gt;1, "", IF(J70&lt;&gt;0, F70, $K$12))</f>
        <v/>
      </c>
      <c r="G71" s="232" t="n">
        <f aca="false">IF(ISERROR(A71),"",ROUND(G70-E71+D71,2))</f>
        <v>5106.99</v>
      </c>
      <c r="H71" s="233" t="n">
        <f aca="false">IF(G71&gt;0,IFERROR(H70+(H70*($D$16/12)),""),"")</f>
        <v>19.7682406445607</v>
      </c>
      <c r="I71" s="223" t="n">
        <f aca="false">IF(ISERROR(A72),"",12 - MONTH(B71))</f>
        <v>8</v>
      </c>
      <c r="J71" s="224" t="n">
        <f aca="false">K71</f>
        <v>0</v>
      </c>
      <c r="K71" s="225" t="n">
        <f aca="false">_xlfn.IFNA(IF(B71&gt;=$K$11, 1,0),0)</f>
        <v>0</v>
      </c>
      <c r="L71" s="60" t="str">
        <f aca="false">IF(I71=0,1,"")</f>
        <v/>
      </c>
      <c r="O71" s="1"/>
      <c r="P71" s="4" t="n">
        <f aca="false">IF(AND(G71&gt;E71, A71&lt;&gt;0, V71&lt;&gt;0), $N$5 * ($P$22 ^ V71 - 1), 0)</f>
        <v>0</v>
      </c>
      <c r="Q71" s="1"/>
      <c r="V71" s="71" t="n">
        <f aca="false">IF(B71&lt;EDATE($K$11,12), 0,  DATEDIF(EDATE($K$11,12), B71 + 1, "y") + 1 )</f>
        <v>0</v>
      </c>
    </row>
    <row r="72" customFormat="false" ht="12.75" hidden="false" customHeight="true" outlineLevel="0" collapsed="false">
      <c r="A72" s="228" t="n">
        <f aca="false">IF(OR(G71="",G71&lt;=0,C71&gt;150),NA(),A71+1)</f>
        <v>44</v>
      </c>
      <c r="B72" s="229" t="n">
        <f aca="false">IF(ISERROR(A72),"",IF($D$9="Annually",EDATE(B71,12),EDATE(B71,1)))</f>
        <v>47631</v>
      </c>
      <c r="C72" s="230" t="n">
        <f aca="false">IF(ISERROR(A72),"",C71+IF($D$9="Monthly",1/12,1))</f>
        <v>64.7166666666667</v>
      </c>
      <c r="D72" s="231" t="n">
        <f aca="false">IF(L71&lt;&gt;1, IF(G71&lt;E71,0,D71),IF(L71=1,IFERROR(ROUND(IF($G71 - (E71 * 6) &lt; 0, D71, ($G71 - (E71 * 6)) * $D$8 / 12),2),0) ) )</f>
        <v>20.78</v>
      </c>
      <c r="E72" s="231" t="n">
        <f aca="false">IF(ISERROR(A72), 0,  MAX(0,   MIN(    ROUND(G71 + D72, 2),    ROUND(FV($S$5, IF(type=1, A72, A71), , IF(J72&lt;&gt;1, -$D$20, -$P$16 + P72), 2), 0)   )  ) )</f>
        <v>18</v>
      </c>
      <c r="F72" s="231" t="str">
        <f aca="false">IF(J72&lt;&gt;1, "", IF(J71&lt;&gt;0, F71, $K$12))</f>
        <v/>
      </c>
      <c r="G72" s="232" t="n">
        <f aca="false">IF(ISERROR(A72),"",ROUND(G71-E72+D72,2))</f>
        <v>5109.77</v>
      </c>
      <c r="H72" s="237" t="n">
        <f aca="false">IF(G72&gt;0,IFERROR(H71+(H71*($D$16/12)),""),"")</f>
        <v>19.8011877123016</v>
      </c>
      <c r="I72" s="223" t="n">
        <f aca="false">IF(ISERROR(A73),"",12 - MONTH(B72))</f>
        <v>7</v>
      </c>
      <c r="J72" s="224" t="n">
        <f aca="false">K72</f>
        <v>0</v>
      </c>
      <c r="K72" s="225" t="n">
        <f aca="false">_xlfn.IFNA(IF(B72&gt;=$K$11, 1,0),0)</f>
        <v>0</v>
      </c>
      <c r="L72" s="60" t="str">
        <f aca="false">IF(I72=0,1,"")</f>
        <v/>
      </c>
      <c r="O72" s="1"/>
      <c r="P72" s="4" t="n">
        <f aca="false">IF(AND(G72&gt;E72, A72&lt;&gt;0, V72&lt;&gt;0), $N$5 * ($P$22 ^ V72 - 1), 0)</f>
        <v>0</v>
      </c>
      <c r="Q72" s="1"/>
      <c r="V72" s="71" t="n">
        <f aca="false">IF(B72&lt;EDATE($K$11,12), 0,  DATEDIF(EDATE($K$11,12), B72 + 1, "y") + 1 )</f>
        <v>0</v>
      </c>
    </row>
    <row r="73" customFormat="false" ht="12.75" hidden="false" customHeight="true" outlineLevel="0" collapsed="false">
      <c r="A73" s="228" t="n">
        <f aca="false">IF(OR(G72="",G72&lt;=0,C72&gt;150),NA(),A72+1)</f>
        <v>45</v>
      </c>
      <c r="B73" s="229" t="n">
        <f aca="false">IF(ISERROR(A73),"",IF($D$9="Annually",EDATE(B72,12),EDATE(B72,1)))</f>
        <v>47662</v>
      </c>
      <c r="C73" s="230" t="n">
        <f aca="false">IF(ISERROR(A73),"",C72+IF($D$9="Monthly",1/12,1))</f>
        <v>64.8</v>
      </c>
      <c r="D73" s="231" t="n">
        <f aca="false">IF(L72&lt;&gt;1, IF(G72&lt;E72,0,D72),IF(L72=1,IFERROR(ROUND(IF($G72 - (E72 * 6) &lt; 0, D72, ($G72 - (E72 * 6)) * $D$8 / 12),2),0) ) )</f>
        <v>20.78</v>
      </c>
      <c r="E73" s="231" t="n">
        <f aca="false">IF(ISERROR(A73), 0,  MAX(0,   MIN(    ROUND(G72 + D73, 2),    ROUND(FV($S$5, IF(type=1, A73, A72), , IF(J73&lt;&gt;1, -$D$20, -$P$16 + P73), 2), 0)   )  ) )</f>
        <v>19</v>
      </c>
      <c r="F73" s="231" t="str">
        <f aca="false">IF(J73&lt;&gt;1, "", IF(J72&lt;&gt;0, F72, $K$12))</f>
        <v/>
      </c>
      <c r="G73" s="232" t="n">
        <f aca="false">IF(ISERROR(A73),"",ROUND(G72-E73+D73,2))</f>
        <v>5111.55</v>
      </c>
      <c r="H73" s="233" t="n">
        <f aca="false">IF(G73&gt;0,IFERROR(H72+(H72*($D$16/12)),""),"")</f>
        <v>19.8341896918221</v>
      </c>
      <c r="I73" s="223" t="n">
        <f aca="false">IF(ISERROR(A74),"",12 - MONTH(B73))</f>
        <v>6</v>
      </c>
      <c r="J73" s="224" t="n">
        <f aca="false">K73</f>
        <v>0</v>
      </c>
      <c r="K73" s="225" t="n">
        <f aca="false">_xlfn.IFNA(IF(B73&gt;=$K$11, 1,0),0)</f>
        <v>0</v>
      </c>
      <c r="L73" s="60" t="str">
        <f aca="false">IF(I73=0,1,"")</f>
        <v/>
      </c>
      <c r="O73" s="1"/>
      <c r="P73" s="4" t="n">
        <f aca="false">IF(AND(G73&gt;E73, A73&lt;&gt;0, V73&lt;&gt;0), $N$5 * ($P$22 ^ V73 - 1), 0)</f>
        <v>0</v>
      </c>
      <c r="Q73" s="1"/>
      <c r="V73" s="71" t="n">
        <f aca="false">IF(B73&lt;EDATE($K$11,12), 0,  DATEDIF(EDATE($K$11,12), B73 + 1, "y") + 1 )</f>
        <v>0</v>
      </c>
    </row>
    <row r="74" customFormat="false" ht="12.75" hidden="false" customHeight="true" outlineLevel="0" collapsed="false">
      <c r="A74" s="228" t="n">
        <f aca="false">IF(OR(G73="",G73&lt;=0,C73&gt;150),NA(),A73+1)</f>
        <v>46</v>
      </c>
      <c r="B74" s="229" t="n">
        <f aca="false">IF(ISERROR(A74),"",IF($D$9="Annually",EDATE(B73,12),EDATE(B73,1)))</f>
        <v>47692</v>
      </c>
      <c r="C74" s="230" t="n">
        <f aca="false">IF(ISERROR(A74),"",C73+IF($D$9="Monthly",1/12,1))</f>
        <v>64.8833333333334</v>
      </c>
      <c r="D74" s="231" t="n">
        <f aca="false">IF(L73&lt;&gt;1, IF(G73&lt;E73,0,D73),IF(L73=1,IFERROR(ROUND(IF($G73 - (E73 * 6) &lt; 0, D73, ($G73 - (E73 * 6)) * $D$8 / 12),2),0) ) )</f>
        <v>20.78</v>
      </c>
      <c r="E74" s="231" t="n">
        <f aca="false">IF(ISERROR(A74), 0,  MAX(0,   MIN(    ROUND(G73 + D74, 2),    ROUND(FV($S$5, IF(type=1, A74, A73), , IF(J74&lt;&gt;1, -$D$20, -$P$16 + P74), 2), 0)   )  ) )</f>
        <v>19</v>
      </c>
      <c r="F74" s="231" t="str">
        <f aca="false">IF(J74&lt;&gt;1, "", IF(J73&lt;&gt;0, F73, $K$12))</f>
        <v/>
      </c>
      <c r="G74" s="232" t="n">
        <f aca="false">IF(ISERROR(A74),"",ROUND(G73-E74+D74,2))</f>
        <v>5113.33</v>
      </c>
      <c r="H74" s="237" t="n">
        <f aca="false">IF(G74&gt;0,IFERROR(H73+(H73*($D$16/12)),""),"")</f>
        <v>19.8672466746418</v>
      </c>
      <c r="I74" s="223" t="n">
        <f aca="false">IF(ISERROR(A75),"",12 - MONTH(B74))</f>
        <v>5</v>
      </c>
      <c r="J74" s="224" t="n">
        <f aca="false">K74</f>
        <v>0</v>
      </c>
      <c r="K74" s="225" t="n">
        <f aca="false">_xlfn.IFNA(IF(B74&gt;=$K$11, 1,0),0)</f>
        <v>0</v>
      </c>
      <c r="L74" s="60" t="str">
        <f aca="false">IF(I74=0,1,"")</f>
        <v/>
      </c>
      <c r="O74" s="1"/>
      <c r="P74" s="4" t="n">
        <f aca="false">IF(AND(G74&gt;E74, A74&lt;&gt;0, V74&lt;&gt;0), $N$5 * ($P$22 ^ V74 - 1), 0)</f>
        <v>0</v>
      </c>
      <c r="Q74" s="1"/>
      <c r="V74" s="71" t="n">
        <f aca="false">IF(B74&lt;EDATE($K$11,12), 0,  DATEDIF(EDATE($K$11,12), B74 + 1, "y") + 1 )</f>
        <v>0</v>
      </c>
    </row>
    <row r="75" customFormat="false" ht="12.75" hidden="false" customHeight="true" outlineLevel="0" collapsed="false">
      <c r="A75" s="228" t="n">
        <f aca="false">IF(OR(G74="",G74&lt;=0,C74&gt;150),NA(),A74+1)</f>
        <v>47</v>
      </c>
      <c r="B75" s="229" t="n">
        <f aca="false">IF(ISERROR(A75),"",IF($D$9="Annually",EDATE(B74,12),EDATE(B74,1)))</f>
        <v>47723</v>
      </c>
      <c r="C75" s="230" t="n">
        <f aca="false">IF(ISERROR(A75),"",C74+IF($D$9="Monthly",1/12,1))</f>
        <v>64.9666666666667</v>
      </c>
      <c r="D75" s="231" t="n">
        <f aca="false">IF(L74&lt;&gt;1, IF(G74&lt;E74,0,D74),IF(L74=1,IFERROR(ROUND(IF($G74 - (E74 * 6) &lt; 0, D74, ($G74 - (E74 * 6)) * $D$8 / 12),2),0) ) )</f>
        <v>20.78</v>
      </c>
      <c r="E75" s="231" t="n">
        <f aca="false">IF(ISERROR(A75), 0,  MAX(0,   MIN(    ROUND(G74 + D75, 2),    ROUND(FV($S$5, IF(type=1, A75, A74), , IF(J75&lt;&gt;1, -$D$20, -$P$16 + P75), 2), 0)   )  ) )</f>
        <v>19</v>
      </c>
      <c r="F75" s="231" t="str">
        <f aca="false">IF(J75&lt;&gt;1, "", IF(J74&lt;&gt;0, F74, $K$12))</f>
        <v/>
      </c>
      <c r="G75" s="232" t="n">
        <f aca="false">IF(ISERROR(A75),"",ROUND(G74-E75+D75,2))</f>
        <v>5115.11</v>
      </c>
      <c r="H75" s="233" t="n">
        <f aca="false">IF(G75&gt;0,IFERROR(H74+(H74*($D$16/12)),""),"")</f>
        <v>19.9003587524329</v>
      </c>
      <c r="I75" s="223" t="n">
        <f aca="false">IF(ISERROR(A76),"",12 - MONTH(B75))</f>
        <v>4</v>
      </c>
      <c r="J75" s="224" t="n">
        <f aca="false">K75</f>
        <v>0</v>
      </c>
      <c r="K75" s="225" t="n">
        <f aca="false">_xlfn.IFNA(IF(B75&gt;=$K$11, 1,0),0)</f>
        <v>0</v>
      </c>
      <c r="L75" s="60" t="str">
        <f aca="false">IF(I75=0,1,"")</f>
        <v/>
      </c>
      <c r="P75" s="4" t="n">
        <f aca="false">IF(AND(G75&gt;E75, A75&lt;&gt;0, V75&lt;&gt;0), $N$5 * ($P$22 ^ V75 - 1), 0)</f>
        <v>0</v>
      </c>
      <c r="Q75" s="1"/>
      <c r="V75" s="71" t="n">
        <f aca="false">IF(B75&lt;EDATE($K$11,12), 0,  DATEDIF(EDATE($K$11,12), B75 + 1, "y") + 1 )</f>
        <v>0</v>
      </c>
    </row>
    <row r="76" customFormat="false" ht="12.75" hidden="false" customHeight="true" outlineLevel="0" collapsed="false">
      <c r="A76" s="228" t="n">
        <f aca="false">IF(OR(G75="",G75&lt;=0,C75&gt;150),NA(),A75+1)</f>
        <v>48</v>
      </c>
      <c r="B76" s="229" t="n">
        <f aca="false">IF(ISERROR(A76),"",IF($D$9="Annually",EDATE(B75,12),EDATE(B75,1)))</f>
        <v>47754</v>
      </c>
      <c r="C76" s="230" t="n">
        <f aca="false">IF(ISERROR(A76),"",C75+IF($D$9="Monthly",1/12,1))</f>
        <v>65.05</v>
      </c>
      <c r="D76" s="231" t="n">
        <f aca="false">IF(L75&lt;&gt;1, IF(G75&lt;E75,0,D75),IF(L75=1,IFERROR(ROUND(IF($G75 - (E75 * 6) &lt; 0, D75, ($G75 - (E75 * 6)) * $D$8 / 12),2),0) ) )</f>
        <v>20.78</v>
      </c>
      <c r="E76" s="231" t="n">
        <f aca="false">IF(ISERROR(A76), 0,  MAX(0,   MIN(    ROUND(G75 + D76, 2),    ROUND(FV($S$5, IF(type=1, A76, A75), , IF(J76&lt;&gt;1, -$D$20, -$P$16 + P76), 2), 0)   )  ) )</f>
        <v>19</v>
      </c>
      <c r="F76" s="231" t="str">
        <f aca="false">IF(J76&lt;&gt;1, "", IF(J75&lt;&gt;0, F75, $K$12))</f>
        <v/>
      </c>
      <c r="G76" s="232" t="n">
        <f aca="false">IF(ISERROR(A76),"",ROUND(G75-E76+D76,2))</f>
        <v>5116.89</v>
      </c>
      <c r="H76" s="237" t="n">
        <f aca="false">IF(G76&gt;0,IFERROR(H75+(H75*($D$16/12)),""),"")</f>
        <v>19.9335260170203</v>
      </c>
      <c r="I76" s="223" t="n">
        <f aca="false">IF(ISERROR(A77),"",12 - MONTH(B76))</f>
        <v>3</v>
      </c>
      <c r="J76" s="224" t="n">
        <f aca="false">K76</f>
        <v>0</v>
      </c>
      <c r="K76" s="225" t="n">
        <f aca="false">_xlfn.IFNA(IF(B76&gt;=$K$11, 1,0),0)</f>
        <v>0</v>
      </c>
      <c r="L76" s="60" t="str">
        <f aca="false">IF(I76=0,1,"")</f>
        <v/>
      </c>
      <c r="P76" s="4" t="n">
        <f aca="false">IF(AND(G76&gt;E76, A76&lt;&gt;0, V76&lt;&gt;0), $N$5 * ($P$22 ^ V76 - 1), 0)</f>
        <v>0</v>
      </c>
      <c r="V76" s="71" t="n">
        <f aca="false">IF(B76&lt;EDATE($K$11,12), 0,  DATEDIF(EDATE($K$11,12), B76 + 1, "y") + 1 )</f>
        <v>0</v>
      </c>
    </row>
    <row r="77" customFormat="false" ht="12.75" hidden="false" customHeight="true" outlineLevel="0" collapsed="false">
      <c r="A77" s="228" t="n">
        <f aca="false">IF(OR(G76="",G76&lt;=0,C76&gt;150),NA(),A76+1)</f>
        <v>49</v>
      </c>
      <c r="B77" s="229" t="n">
        <f aca="false">IF(ISERROR(A77),"",IF($D$9="Annually",EDATE(B76,12),EDATE(B76,1)))</f>
        <v>47784</v>
      </c>
      <c r="C77" s="230" t="n">
        <f aca="false">IF(ISERROR(A77),"",C76+IF($D$9="Monthly",1/12,1))</f>
        <v>65.1333333333334</v>
      </c>
      <c r="D77" s="231" t="n">
        <f aca="false">IF(L76&lt;&gt;1, IF(G76&lt;E76,0,D76),IF(L76=1,IFERROR(ROUND(IF($G76 - (E76 * 6) &lt; 0, D76, ($G76 - (E76 * 6)) * $D$8 / 12),2),0) ) )</f>
        <v>20.78</v>
      </c>
      <c r="E77" s="231" t="n">
        <f aca="false">IF(ISERROR(A77), 0,  MAX(0,   MIN(    ROUND(G76 + D77, 2),    ROUND(FV($S$5, IF(type=1, A77, A76), , IF(J77&lt;&gt;1, -$D$20, -$P$16 + P77), 2), 0)   )  ) )</f>
        <v>19</v>
      </c>
      <c r="F77" s="231" t="str">
        <f aca="false">IF(J77&lt;&gt;1, "", IF(J76&lt;&gt;0, F76, $K$12))</f>
        <v/>
      </c>
      <c r="G77" s="232" t="n">
        <f aca="false">IF(ISERROR(A77),"",ROUND(G76-E77+D77,2))</f>
        <v>5118.67</v>
      </c>
      <c r="H77" s="233" t="n">
        <f aca="false">IF(G77&gt;0,IFERROR(H76+(H76*($D$16/12)),""),"")</f>
        <v>19.966748560382</v>
      </c>
      <c r="I77" s="223" t="n">
        <f aca="false">IF(ISERROR(A78),"",12 - MONTH(B77))</f>
        <v>2</v>
      </c>
      <c r="J77" s="224" t="n">
        <f aca="false">K77</f>
        <v>0</v>
      </c>
      <c r="K77" s="225" t="n">
        <f aca="false">_xlfn.IFNA(IF(B77&gt;=$K$11, 1,0),0)</f>
        <v>0</v>
      </c>
      <c r="L77" s="60" t="str">
        <f aca="false">IF(I77=0,1,"")</f>
        <v/>
      </c>
      <c r="P77" s="4" t="n">
        <f aca="false">IF(AND(G77&gt;E77, A77&lt;&gt;0, V77&lt;&gt;0), $N$5 * ($P$22 ^ V77 - 1), 0)</f>
        <v>0</v>
      </c>
      <c r="V77" s="71" t="n">
        <f aca="false">IF(B77&lt;EDATE($K$11,12), 0,  DATEDIF(EDATE($K$11,12), B77 + 1, "y") + 1 )</f>
        <v>0</v>
      </c>
    </row>
    <row r="78" customFormat="false" ht="12.75" hidden="false" customHeight="true" outlineLevel="0" collapsed="false">
      <c r="A78" s="228" t="n">
        <f aca="false">IF(OR(G77="",G77&lt;=0,C77&gt;150),NA(),A77+1)</f>
        <v>50</v>
      </c>
      <c r="B78" s="229" t="n">
        <f aca="false">IF(ISERROR(A78),"",IF($D$9="Annually",EDATE(B77,12),EDATE(B77,1)))</f>
        <v>47815</v>
      </c>
      <c r="C78" s="230" t="n">
        <f aca="false">IF(ISERROR(A78),"",C77+IF($D$9="Monthly",1/12,1))</f>
        <v>65.2166666666667</v>
      </c>
      <c r="D78" s="231" t="n">
        <f aca="false">IF(L77&lt;&gt;1, IF(G77&lt;E77,0,D77),IF(L77=1,IFERROR(ROUND(IF($G77 - (E77 * 6) &lt; 0, D77, ($G77 - (E77 * 6)) * $D$8 / 12),2),0) ) )</f>
        <v>20.78</v>
      </c>
      <c r="E78" s="231" t="n">
        <f aca="false">IF(ISERROR(A78), 0,  MAX(0,   MIN(    ROUND(G77 + D78, 2),    ROUND(FV($S$5, IF(type=1, A78, A77), , IF(J78&lt;&gt;1, -$D$20, -$P$16 + P78), 2), 0)   )  ) )</f>
        <v>19</v>
      </c>
      <c r="F78" s="231" t="str">
        <f aca="false">IF(J78&lt;&gt;1, "", IF(J77&lt;&gt;0, F77, $K$12))</f>
        <v/>
      </c>
      <c r="G78" s="232" t="n">
        <f aca="false">IF(ISERROR(A78),"",ROUND(G77-E78+D78,2))</f>
        <v>5120.45</v>
      </c>
      <c r="H78" s="237" t="n">
        <f aca="false">IF(G78&gt;0,IFERROR(H77+(H77*($D$16/12)),""),"")</f>
        <v>20.0000264746493</v>
      </c>
      <c r="I78" s="223" t="n">
        <f aca="false">IF(ISERROR(A79),"",12 - MONTH(B78))</f>
        <v>1</v>
      </c>
      <c r="J78" s="224" t="n">
        <f aca="false">K78</f>
        <v>0</v>
      </c>
      <c r="K78" s="225" t="n">
        <f aca="false">_xlfn.IFNA(IF(B78&gt;=$K$11, 1,0),0)</f>
        <v>0</v>
      </c>
      <c r="L78" s="60" t="str">
        <f aca="false">IF(I78=0,1,"")</f>
        <v/>
      </c>
      <c r="P78" s="4" t="n">
        <f aca="false">IF(AND(G78&gt;E78, A78&lt;&gt;0, V78&lt;&gt;0), $N$5 * ($P$22 ^ V78 - 1), 0)</f>
        <v>0</v>
      </c>
      <c r="V78" s="71" t="n">
        <f aca="false">IF(B78&lt;EDATE($K$11,12), 0,  DATEDIF(EDATE($K$11,12), B78 + 1, "y") + 1 )</f>
        <v>0</v>
      </c>
    </row>
    <row r="79" customFormat="false" ht="12.75" hidden="false" customHeight="true" outlineLevel="0" collapsed="false">
      <c r="A79" s="228" t="n">
        <f aca="false">IF(OR(G78="",G78&lt;=0,C78&gt;150),NA(),A78+1)</f>
        <v>51</v>
      </c>
      <c r="B79" s="229" t="n">
        <f aca="false">IF(ISERROR(A79),"",IF($D$9="Annually",EDATE(B78,12),EDATE(B78,1)))</f>
        <v>47845</v>
      </c>
      <c r="C79" s="230" t="n">
        <f aca="false">IF(ISERROR(A79),"",C78+IF($D$9="Monthly",1/12,1))</f>
        <v>65.3</v>
      </c>
      <c r="D79" s="231" t="n">
        <f aca="false">IF(L78&lt;&gt;1, IF(G78&lt;E78,0,D78),IF(L78=1,IFERROR(ROUND(IF($G78 - (E78 * 6) &lt; 0, D78, ($G78 - (E78 * 6)) * $D$8 / 12),2),0) ) )</f>
        <v>20.78</v>
      </c>
      <c r="E79" s="231" t="n">
        <f aca="false">IF(ISERROR(A79), 0,  MAX(0,   MIN(    ROUND(G78 + D79, 2),    ROUND(FV($S$5, IF(type=1, A79, A78), , IF(J79&lt;&gt;1, -$D$20, -$P$16 + P79), 2), 0)   )  ) )</f>
        <v>19</v>
      </c>
      <c r="F79" s="231" t="str">
        <f aca="false">IF(J79&lt;&gt;1, "", IF(J78&lt;&gt;0, F78, $K$12))</f>
        <v/>
      </c>
      <c r="G79" s="232" t="n">
        <f aca="false">IF(ISERROR(A79),"",ROUND(G78-E79+D79,2))</f>
        <v>5122.23</v>
      </c>
      <c r="H79" s="233" t="n">
        <f aca="false">IF(G79&gt;0,IFERROR(H78+(H78*($D$16/12)),""),"")</f>
        <v>20.033359852107</v>
      </c>
      <c r="I79" s="223" t="n">
        <f aca="false">IF(ISERROR(A80),"",12 - MONTH(B79))</f>
        <v>0</v>
      </c>
      <c r="J79" s="224" t="n">
        <f aca="false">K79</f>
        <v>0</v>
      </c>
      <c r="K79" s="225" t="n">
        <f aca="false">_xlfn.IFNA(IF(B79&gt;=$K$11, 1,0),0)</f>
        <v>0</v>
      </c>
      <c r="L79" s="60" t="n">
        <f aca="false">IF(I79=0,1,"")</f>
        <v>1</v>
      </c>
      <c r="P79" s="4" t="n">
        <f aca="false">IF(AND(G79&gt;E79, A79&lt;&gt;0, V79&lt;&gt;0), $N$5 * ($P$22 ^ V79 - 1), 0)</f>
        <v>0</v>
      </c>
      <c r="V79" s="71" t="n">
        <f aca="false">IF(B79&lt;EDATE($K$11,12), 0,  DATEDIF(EDATE($K$11,12), B79 + 1, "y") + 1 )</f>
        <v>0</v>
      </c>
    </row>
    <row r="80" customFormat="false" ht="12.75" hidden="false" customHeight="true" outlineLevel="0" collapsed="false">
      <c r="A80" s="228" t="n">
        <f aca="false">IF(OR(G79="",G79&lt;=0,C79&gt;150),NA(),A79+1)</f>
        <v>52</v>
      </c>
      <c r="B80" s="229" t="n">
        <f aca="false">IF(ISERROR(A80),"",IF($D$9="Annually",EDATE(B79,12),EDATE(B79,1)))</f>
        <v>47876</v>
      </c>
      <c r="C80" s="230" t="n">
        <f aca="false">IF(ISERROR(A80),"",C79+IF($D$9="Monthly",1/12,1))</f>
        <v>65.3833333333333</v>
      </c>
      <c r="D80" s="231" t="n">
        <f aca="false">IF(L79&lt;&gt;1, IF(G79&lt;E79,0,D79),IF(L79=1,IFERROR(ROUND(IF($G79 - (E79 * 6) &lt; 0, D79, ($G79 - (E79 * 6)) * $D$8 / 12),2),0) ) )</f>
        <v>20.87</v>
      </c>
      <c r="E80" s="231" t="n">
        <f aca="false">IF(ISERROR(A80), 0,  MAX(0,   MIN(    ROUND(G79 + D80, 2),    ROUND(FV($S$5, IF(type=1, A80, A79), , IF(J80&lt;&gt;1, -$D$20, -$P$16 + P80), 2), 0)   )  ) )</f>
        <v>20</v>
      </c>
      <c r="F80" s="231" t="n">
        <f aca="false">IF(J80&lt;&gt;1, "", IF(J79&lt;&gt;0, F79, $K$12))</f>
        <v>1</v>
      </c>
      <c r="G80" s="232" t="n">
        <f aca="false">IF(ISERROR(A80),"",ROUND(G79-E80+D80,2))</f>
        <v>5123.1</v>
      </c>
      <c r="H80" s="237" t="n">
        <f aca="false">IF(G80&gt;0,IFERROR(H79+(H79*($D$16/12)),""),"")</f>
        <v>20.0667487851939</v>
      </c>
      <c r="I80" s="223" t="n">
        <f aca="false">IF(ISERROR(A81),"",12 - MONTH(B80))</f>
        <v>11</v>
      </c>
      <c r="J80" s="224" t="n">
        <f aca="false">K80</f>
        <v>1</v>
      </c>
      <c r="K80" s="225" t="n">
        <f aca="false">_xlfn.IFNA(IF(B80&gt;=$K$11, 1,0),0)</f>
        <v>1</v>
      </c>
      <c r="L80" s="60" t="str">
        <f aca="false">IF(I80=0,1,"")</f>
        <v/>
      </c>
      <c r="P80" s="4" t="n">
        <f aca="false">IF(AND(G80&gt;E80, A80&lt;&gt;0, V80&lt;&gt;0), $N$5 * ($P$22 ^ V80 - 1), 0)</f>
        <v>0</v>
      </c>
      <c r="V80" s="71" t="n">
        <f aca="false">IF(B80&lt;EDATE($K$11,12), 0,  DATEDIF(EDATE($K$11,12), B80 + 1, "y") + 1 )</f>
        <v>0</v>
      </c>
    </row>
    <row r="81" customFormat="false" ht="12.75" hidden="false" customHeight="true" outlineLevel="0" collapsed="false">
      <c r="A81" s="228" t="n">
        <f aca="false">IF(OR(G80="",G80&lt;=0,C80&gt;150),NA(),A80+1)</f>
        <v>53</v>
      </c>
      <c r="B81" s="229" t="n">
        <f aca="false">IF(ISERROR(A81),"",IF($D$9="Annually",EDATE(B80,12),EDATE(B80,1)))</f>
        <v>47907</v>
      </c>
      <c r="C81" s="230" t="n">
        <f aca="false">IF(ISERROR(A81),"",C80+IF($D$9="Monthly",1/12,1))</f>
        <v>65.4666666666667</v>
      </c>
      <c r="D81" s="231" t="n">
        <f aca="false">IF(L80&lt;&gt;1, IF(G80&lt;E80,0,D80),IF(L80=1,IFERROR(ROUND(IF($G80 - (E80 * 6) &lt; 0, D80, ($G80 - (E80 * 6)) * $D$8 / 12),2),0) ) )</f>
        <v>20.87</v>
      </c>
      <c r="E81" s="231" t="n">
        <f aca="false">IF(ISERROR(A81), 0,  MAX(0,   MIN(    ROUND(G80 + D81, 2),    ROUND(FV($S$5, IF(type=1, A81, A80), , IF(J81&lt;&gt;1, -$D$20, -$P$16 + P81), 2), 0)   )  ) )</f>
        <v>20</v>
      </c>
      <c r="F81" s="231" t="n">
        <f aca="false">IF(J81&lt;&gt;1, "", IF(J80&lt;&gt;0, F80, $K$12))</f>
        <v>1</v>
      </c>
      <c r="G81" s="232" t="n">
        <f aca="false">IF(ISERROR(A81),"",ROUND(G80-E81+D81,2))</f>
        <v>5123.97</v>
      </c>
      <c r="H81" s="233" t="n">
        <f aca="false">IF(G81&gt;0,IFERROR(H80+(H80*($D$16/12)),""),"")</f>
        <v>20.1001933665026</v>
      </c>
      <c r="I81" s="223" t="n">
        <f aca="false">IF(ISERROR(A82),"",12 - MONTH(B81))</f>
        <v>10</v>
      </c>
      <c r="J81" s="224" t="n">
        <f aca="false">K81</f>
        <v>1</v>
      </c>
      <c r="K81" s="225" t="n">
        <f aca="false">_xlfn.IFNA(IF(B81&gt;=$K$11, 1,0),0)</f>
        <v>1</v>
      </c>
      <c r="L81" s="60" t="str">
        <f aca="false">IF(I81=0,1,"")</f>
        <v/>
      </c>
      <c r="P81" s="4" t="n">
        <f aca="false">IF(AND(G81&gt;E81, A81&lt;&gt;0, V81&lt;&gt;0), $N$5 * ($P$22 ^ V81 - 1), 0)</f>
        <v>0</v>
      </c>
      <c r="V81" s="71" t="n">
        <f aca="false">IF(B81&lt;EDATE($K$11,12), 0,  DATEDIF(EDATE($K$11,12), B81 + 1, "y") + 1 )</f>
        <v>0</v>
      </c>
    </row>
    <row r="82" customFormat="false" ht="12.75" hidden="false" customHeight="true" outlineLevel="0" collapsed="false">
      <c r="A82" s="228" t="n">
        <f aca="false">IF(OR(G81="",G81&lt;=0,C81&gt;150),NA(),A81+1)</f>
        <v>54</v>
      </c>
      <c r="B82" s="229" t="n">
        <f aca="false">IF(ISERROR(A82),"",IF($D$9="Annually",EDATE(B81,12),EDATE(B81,1)))</f>
        <v>47935</v>
      </c>
      <c r="C82" s="230" t="n">
        <f aca="false">IF(ISERROR(A82),"",C81+IF($D$9="Monthly",1/12,1))</f>
        <v>65.55</v>
      </c>
      <c r="D82" s="231" t="n">
        <f aca="false">IF(L81&lt;&gt;1, IF(G81&lt;E81,0,D81),IF(L81=1,IFERROR(ROUND(IF($G81 - (E81 * 6) &lt; 0, D81, ($G81 - (E81 * 6)) * $D$8 / 12),2),0) ) )</f>
        <v>20.87</v>
      </c>
      <c r="E82" s="231" t="n">
        <f aca="false">IF(ISERROR(A82), 0,  MAX(0,   MIN(    ROUND(G81 + D82, 2),    ROUND(FV($S$5, IF(type=1, A82, A81), , IF(J82&lt;&gt;1, -$D$20, -$P$16 + P82), 2), 0)   )  ) )</f>
        <v>21</v>
      </c>
      <c r="F82" s="231" t="n">
        <f aca="false">IF(J82&lt;&gt;1, "", IF(J81&lt;&gt;0, F81, $K$12))</f>
        <v>1</v>
      </c>
      <c r="G82" s="232" t="n">
        <f aca="false">IF(ISERROR(A82),"",ROUND(G81-E82+D82,2))</f>
        <v>5123.84</v>
      </c>
      <c r="H82" s="237" t="n">
        <f aca="false">IF(G82&gt;0,IFERROR(H81+(H81*($D$16/12)),""),"")</f>
        <v>20.1336936887801</v>
      </c>
      <c r="I82" s="223" t="n">
        <f aca="false">IF(ISERROR(A83),"",12 - MONTH(B82))</f>
        <v>9</v>
      </c>
      <c r="J82" s="224" t="n">
        <f aca="false">K82</f>
        <v>1</v>
      </c>
      <c r="K82" s="225" t="n">
        <f aca="false">_xlfn.IFNA(IF(B82&gt;=$K$11, 1,0),0)</f>
        <v>1</v>
      </c>
      <c r="L82" s="60" t="str">
        <f aca="false">IF(I82=0,1,"")</f>
        <v/>
      </c>
      <c r="P82" s="4" t="n">
        <f aca="false">IF(AND(G82&gt;E82, A82&lt;&gt;0, V82&lt;&gt;0), $N$5 * ($P$22 ^ V82 - 1), 0)</f>
        <v>0</v>
      </c>
      <c r="V82" s="71" t="n">
        <f aca="false">IF(B82&lt;EDATE($K$11,12), 0,  DATEDIF(EDATE($K$11,12), B82 + 1, "y") + 1 )</f>
        <v>0</v>
      </c>
    </row>
    <row r="83" customFormat="false" ht="12.75" hidden="false" customHeight="true" outlineLevel="0" collapsed="false">
      <c r="A83" s="228" t="n">
        <f aca="false">IF(OR(G82="",G82&lt;=0,C82&gt;150),NA(),A82+1)</f>
        <v>55</v>
      </c>
      <c r="B83" s="229" t="n">
        <f aca="false">IF(ISERROR(A83),"",IF($D$9="Annually",EDATE(B82,12),EDATE(B82,1)))</f>
        <v>47966</v>
      </c>
      <c r="C83" s="230" t="n">
        <f aca="false">IF(ISERROR(A83),"",C82+IF($D$9="Monthly",1/12,1))</f>
        <v>65.6333333333333</v>
      </c>
      <c r="D83" s="231" t="n">
        <f aca="false">IF(L82&lt;&gt;1, IF(G82&lt;E82,0,D82),IF(L82=1,IFERROR(ROUND(IF($G82 - (E82 * 6) &lt; 0, D82, ($G82 - (E82 * 6)) * $D$8 / 12),2),0) ) )</f>
        <v>20.87</v>
      </c>
      <c r="E83" s="231" t="n">
        <f aca="false">IF(ISERROR(A83), 0,  MAX(0,   MIN(    ROUND(G82 + D83, 2),    ROUND(FV($S$5, IF(type=1, A83, A82), , IF(J83&lt;&gt;1, -$D$20, -$P$16 + P83), 2), 0)   )  ) )</f>
        <v>21</v>
      </c>
      <c r="F83" s="231" t="n">
        <f aca="false">IF(J83&lt;&gt;1, "", IF(J82&lt;&gt;0, F82, $K$12))</f>
        <v>1</v>
      </c>
      <c r="G83" s="232" t="n">
        <f aca="false">IF(ISERROR(A83),"",ROUND(G82-E83+D83,2))</f>
        <v>5123.71</v>
      </c>
      <c r="H83" s="233" t="n">
        <f aca="false">IF(G83&gt;0,IFERROR(H82+(H82*($D$16/12)),""),"")</f>
        <v>20.167249844928</v>
      </c>
      <c r="I83" s="223" t="n">
        <f aca="false">IF(ISERROR(A84),"",12 - MONTH(B83))</f>
        <v>8</v>
      </c>
      <c r="J83" s="224" t="n">
        <f aca="false">K83</f>
        <v>1</v>
      </c>
      <c r="K83" s="225" t="n">
        <f aca="false">_xlfn.IFNA(IF(B83&gt;=$K$11, 1,0),0)</f>
        <v>1</v>
      </c>
      <c r="L83" s="60" t="str">
        <f aca="false">IF(I83=0,1,"")</f>
        <v/>
      </c>
      <c r="P83" s="4" t="n">
        <f aca="false">IF(AND(G83&gt;E83, A83&lt;&gt;0, V83&lt;&gt;0), $N$5 * ($P$22 ^ V83 - 1), 0)</f>
        <v>0</v>
      </c>
      <c r="V83" s="71" t="n">
        <f aca="false">IF(B83&lt;EDATE($K$11,12), 0,  DATEDIF(EDATE($K$11,12), B83 + 1, "y") + 1 )</f>
        <v>0</v>
      </c>
    </row>
    <row r="84" customFormat="false" ht="12.75" hidden="false" customHeight="true" outlineLevel="0" collapsed="false">
      <c r="A84" s="228" t="n">
        <f aca="false">IF(OR(G83="",G83&lt;=0,C83&gt;150),NA(),A83+1)</f>
        <v>56</v>
      </c>
      <c r="B84" s="229" t="n">
        <f aca="false">IF(ISERROR(A84),"",IF($D$9="Annually",EDATE(B83,12),EDATE(B83,1)))</f>
        <v>47996</v>
      </c>
      <c r="C84" s="230" t="n">
        <f aca="false">IF(ISERROR(A84),"",C83+IF($D$9="Monthly",1/12,1))</f>
        <v>65.7166666666667</v>
      </c>
      <c r="D84" s="231" t="n">
        <f aca="false">IF(L83&lt;&gt;1, IF(G83&lt;E83,0,D83),IF(L83=1,IFERROR(ROUND(IF($G83 - (E83 * 6) &lt; 0, D83, ($G83 - (E83 * 6)) * $D$8 / 12),2),0) ) )</f>
        <v>20.87</v>
      </c>
      <c r="E84" s="231" t="n">
        <f aca="false">IF(ISERROR(A84), 0,  MAX(0,   MIN(    ROUND(G83 + D84, 2),    ROUND(FV($S$5, IF(type=1, A84, A83), , IF(J84&lt;&gt;1, -$D$20, -$P$16 + P84), 2), 0)   )  ) )</f>
        <v>21</v>
      </c>
      <c r="F84" s="231" t="n">
        <f aca="false">IF(J84&lt;&gt;1, "", IF(J83&lt;&gt;0, F83, $K$12))</f>
        <v>1</v>
      </c>
      <c r="G84" s="232" t="n">
        <f aca="false">IF(ISERROR(A84),"",ROUND(G83-E84+D84,2))</f>
        <v>5123.58</v>
      </c>
      <c r="H84" s="237" t="n">
        <f aca="false">IF(G84&gt;0,IFERROR(H83+(H83*($D$16/12)),""),"")</f>
        <v>20.2008619280029</v>
      </c>
      <c r="I84" s="223" t="n">
        <f aca="false">IF(ISERROR(A85),"",12 - MONTH(B84))</f>
        <v>7</v>
      </c>
      <c r="J84" s="224" t="n">
        <f aca="false">K84</f>
        <v>1</v>
      </c>
      <c r="K84" s="225" t="n">
        <f aca="false">_xlfn.IFNA(IF(B84&gt;=$K$11, 1,0),0)</f>
        <v>1</v>
      </c>
      <c r="L84" s="60" t="str">
        <f aca="false">IF(I84=0,1,"")</f>
        <v/>
      </c>
      <c r="P84" s="4" t="n">
        <f aca="false">IF(AND(G84&gt;E84, A84&lt;&gt;0, V84&lt;&gt;0), $N$5 * ($P$22 ^ V84 - 1), 0)</f>
        <v>0</v>
      </c>
      <c r="V84" s="71" t="n">
        <f aca="false">IF(B84&lt;EDATE($K$11,12), 0,  DATEDIF(EDATE($K$11,12), B84 + 1, "y") + 1 )</f>
        <v>0</v>
      </c>
    </row>
    <row r="85" customFormat="false" ht="12.75" hidden="false" customHeight="true" outlineLevel="0" collapsed="false">
      <c r="A85" s="228" t="n">
        <f aca="false">IF(OR(G84="",G84&lt;=0,C84&gt;150),NA(),A84+1)</f>
        <v>57</v>
      </c>
      <c r="B85" s="229" t="n">
        <f aca="false">IF(ISERROR(A85),"",IF($D$9="Annually",EDATE(B84,12),EDATE(B84,1)))</f>
        <v>48027</v>
      </c>
      <c r="C85" s="230" t="n">
        <f aca="false">IF(ISERROR(A85),"",C84+IF($D$9="Monthly",1/12,1))</f>
        <v>65.8</v>
      </c>
      <c r="D85" s="231" t="n">
        <f aca="false">IF(L84&lt;&gt;1, IF(G84&lt;E84,0,D84),IF(L84=1,IFERROR(ROUND(IF($G84 - (E84 * 6) &lt; 0, D84, ($G84 - (E84 * 6)) * $D$8 / 12),2),0) ) )</f>
        <v>20.87</v>
      </c>
      <c r="E85" s="231" t="n">
        <f aca="false">IF(ISERROR(A85), 0,  MAX(0,   MIN(    ROUND(G84 + D85, 2),    ROUND(FV($S$5, IF(type=1, A85, A84), , IF(J85&lt;&gt;1, -$D$20, -$P$16 + P85), 2), 0)   )  ) )</f>
        <v>21</v>
      </c>
      <c r="F85" s="231" t="n">
        <f aca="false">IF(J85&lt;&gt;1, "", IF(J84&lt;&gt;0, F84, $K$12))</f>
        <v>1</v>
      </c>
      <c r="G85" s="232" t="n">
        <f aca="false">IF(ISERROR(A85),"",ROUND(G84-E85+D85,2))</f>
        <v>5123.45</v>
      </c>
      <c r="H85" s="233" t="n">
        <f aca="false">IF(G85&gt;0,IFERROR(H84+(H84*($D$16/12)),""),"")</f>
        <v>20.2345300312162</v>
      </c>
      <c r="I85" s="223" t="n">
        <f aca="false">IF(ISERROR(A86),"",12 - MONTH(B85))</f>
        <v>6</v>
      </c>
      <c r="J85" s="224" t="n">
        <f aca="false">K85</f>
        <v>1</v>
      </c>
      <c r="K85" s="225" t="n">
        <f aca="false">_xlfn.IFNA(IF(B85&gt;=$K$11, 1,0),0)</f>
        <v>1</v>
      </c>
      <c r="L85" s="60" t="str">
        <f aca="false">IF(I85=0,1,"")</f>
        <v/>
      </c>
      <c r="P85" s="4" t="n">
        <f aca="false">IF(AND(G85&gt;E85, A85&lt;&gt;0, V85&lt;&gt;0), $N$5 * ($P$22 ^ V85 - 1), 0)</f>
        <v>0</v>
      </c>
      <c r="V85" s="71" t="n">
        <f aca="false">IF(B85&lt;EDATE($K$11,12), 0,  DATEDIF(EDATE($K$11,12), B85 + 1, "y") + 1 )</f>
        <v>0</v>
      </c>
    </row>
    <row r="86" customFormat="false" ht="12.75" hidden="false" customHeight="true" outlineLevel="0" collapsed="false">
      <c r="A86" s="228" t="n">
        <f aca="false">IF(OR(G85="",G85&lt;=0,C85&gt;150),NA(),A85+1)</f>
        <v>58</v>
      </c>
      <c r="B86" s="229" t="n">
        <f aca="false">IF(ISERROR(A86),"",IF($D$9="Annually",EDATE(B85,12),EDATE(B85,1)))</f>
        <v>48057</v>
      </c>
      <c r="C86" s="230" t="n">
        <f aca="false">IF(ISERROR(A86),"",C85+IF($D$9="Monthly",1/12,1))</f>
        <v>65.8833333333333</v>
      </c>
      <c r="D86" s="231" t="n">
        <f aca="false">IF(L85&lt;&gt;1, IF(G85&lt;E85,0,D85),IF(L85=1,IFERROR(ROUND(IF($G85 - (E85 * 6) &lt; 0, D85, ($G85 - (E85 * 6)) * $D$8 / 12),2),0) ) )</f>
        <v>20.87</v>
      </c>
      <c r="E86" s="231" t="n">
        <f aca="false">IF(ISERROR(A86), 0,  MAX(0,   MIN(    ROUND(G85 + D86, 2),    ROUND(FV($S$5, IF(type=1, A86, A85), , IF(J86&lt;&gt;1, -$D$20, -$P$16 + P86), 2), 0)   )  ) )</f>
        <v>21</v>
      </c>
      <c r="F86" s="231" t="n">
        <f aca="false">IF(J86&lt;&gt;1, "", IF(J85&lt;&gt;0, F85, $K$12))</f>
        <v>1</v>
      </c>
      <c r="G86" s="232" t="n">
        <f aca="false">IF(ISERROR(A86),"",ROUND(G85-E86+D86,2))</f>
        <v>5123.32</v>
      </c>
      <c r="H86" s="237" t="n">
        <f aca="false">IF(G86&gt;0,IFERROR(H85+(H85*($D$16/12)),""),"")</f>
        <v>20.2682542479349</v>
      </c>
      <c r="I86" s="223" t="n">
        <f aca="false">IF(ISERROR(A87),"",12 - MONTH(B86))</f>
        <v>5</v>
      </c>
      <c r="J86" s="224" t="n">
        <f aca="false">K86</f>
        <v>1</v>
      </c>
      <c r="K86" s="225" t="n">
        <f aca="false">_xlfn.IFNA(IF(B86&gt;=$K$11, 1,0),0)</f>
        <v>1</v>
      </c>
      <c r="L86" s="60" t="str">
        <f aca="false">IF(I86=0,1,"")</f>
        <v/>
      </c>
      <c r="P86" s="4" t="n">
        <f aca="false">IF(AND(G86&gt;E86, A86&lt;&gt;0, V86&lt;&gt;0), $N$5 * ($P$22 ^ V86 - 1), 0)</f>
        <v>0</v>
      </c>
      <c r="V86" s="71" t="n">
        <f aca="false">IF(B86&lt;EDATE($K$11,12), 0,  DATEDIF(EDATE($K$11,12), B86 + 1, "y") + 1 )</f>
        <v>0</v>
      </c>
    </row>
    <row r="87" customFormat="false" ht="12.75" hidden="false" customHeight="true" outlineLevel="0" collapsed="false">
      <c r="A87" s="228" t="n">
        <f aca="false">IF(OR(G86="",G86&lt;=0,C86&gt;150),NA(),A86+1)</f>
        <v>59</v>
      </c>
      <c r="B87" s="229" t="n">
        <f aca="false">IF(ISERROR(A87),"",IF($D$9="Annually",EDATE(B86,12),EDATE(B86,1)))</f>
        <v>48088</v>
      </c>
      <c r="C87" s="230" t="n">
        <f aca="false">IF(ISERROR(A87),"",C86+IF($D$9="Monthly",1/12,1))</f>
        <v>65.9666666666666</v>
      </c>
      <c r="D87" s="231" t="n">
        <f aca="false">IF(L86&lt;&gt;1, IF(G86&lt;E86,0,D86),IF(L86=1,IFERROR(ROUND(IF($G86 - (E86 * 6) &lt; 0, D86, ($G86 - (E86 * 6)) * $D$8 / 12),2),0) ) )</f>
        <v>20.87</v>
      </c>
      <c r="E87" s="231" t="n">
        <f aca="false">IF(ISERROR(A87), 0,  MAX(0,   MIN(    ROUND(G86 + D87, 2),    ROUND(FV($S$5, IF(type=1, A87, A86), , IF(J87&lt;&gt;1, -$D$20, -$P$16 + P87), 2), 0)   )  ) )</f>
        <v>21</v>
      </c>
      <c r="F87" s="231" t="n">
        <f aca="false">IF(J87&lt;&gt;1, "", IF(J86&lt;&gt;0, F86, $K$12))</f>
        <v>1</v>
      </c>
      <c r="G87" s="232" t="n">
        <f aca="false">IF(ISERROR(A87),"",ROUND(G86-E87+D87,2))</f>
        <v>5123.19</v>
      </c>
      <c r="H87" s="233" t="n">
        <f aca="false">IF(G87&gt;0,IFERROR(H86+(H86*($D$16/12)),""),"")</f>
        <v>20.3020346716815</v>
      </c>
      <c r="I87" s="223" t="n">
        <f aca="false">IF(ISERROR(A88),"",12 - MONTH(B87))</f>
        <v>4</v>
      </c>
      <c r="J87" s="224" t="n">
        <f aca="false">K87</f>
        <v>1</v>
      </c>
      <c r="K87" s="225" t="n">
        <f aca="false">_xlfn.IFNA(IF(B87&gt;=$K$11, 1,0),0)</f>
        <v>1</v>
      </c>
      <c r="L87" s="60" t="str">
        <f aca="false">IF(I87=0,1,"")</f>
        <v/>
      </c>
      <c r="P87" s="4" t="n">
        <f aca="false">IF(AND(G87&gt;E87, A87&lt;&gt;0, V87&lt;&gt;0), $N$5 * ($P$22 ^ V87 - 1), 0)</f>
        <v>0</v>
      </c>
      <c r="V87" s="71" t="n">
        <f aca="false">IF(B87&lt;EDATE($K$11,12), 0,  DATEDIF(EDATE($K$11,12), B87 + 1, "y") + 1 )</f>
        <v>0</v>
      </c>
    </row>
    <row r="88" customFormat="false" ht="12.75" hidden="false" customHeight="true" outlineLevel="0" collapsed="false">
      <c r="A88" s="228" t="n">
        <f aca="false">IF(OR(G87="",G87&lt;=0,C87&gt;150),NA(),A87+1)</f>
        <v>60</v>
      </c>
      <c r="B88" s="229" t="n">
        <f aca="false">IF(ISERROR(A88),"",IF($D$9="Annually",EDATE(B87,12),EDATE(B87,1)))</f>
        <v>48119</v>
      </c>
      <c r="C88" s="230" t="n">
        <f aca="false">IF(ISERROR(A88),"",C87+IF($D$9="Monthly",1/12,1))</f>
        <v>66.05</v>
      </c>
      <c r="D88" s="231" t="n">
        <f aca="false">IF(L87&lt;&gt;1, IF(G87&lt;E87,0,D87),IF(L87=1,IFERROR(ROUND(IF($G87 - (E87 * 6) &lt; 0, D87, ($G87 - (E87 * 6)) * $D$8 / 12),2),0) ) )</f>
        <v>20.87</v>
      </c>
      <c r="E88" s="231" t="n">
        <f aca="false">IF(ISERROR(A88), 0,  MAX(0,   MIN(    ROUND(G87 + D88, 2),    ROUND(FV($S$5, IF(type=1, A88, A87), , IF(J88&lt;&gt;1, -$D$20, -$P$16 + P88), 2), 0)   )  ) )</f>
        <v>21</v>
      </c>
      <c r="F88" s="231" t="n">
        <f aca="false">IF(J88&lt;&gt;1, "", IF(J87&lt;&gt;0, F87, $K$12))</f>
        <v>1</v>
      </c>
      <c r="G88" s="232" t="n">
        <f aca="false">IF(ISERROR(A88),"",ROUND(G87-E88+D88,2))</f>
        <v>5123.06</v>
      </c>
      <c r="H88" s="237" t="n">
        <f aca="false">IF(G88&gt;0,IFERROR(H87+(H87*($D$16/12)),""),"")</f>
        <v>20.3358713961343</v>
      </c>
      <c r="I88" s="223" t="n">
        <f aca="false">IF(ISERROR(A89),"",12 - MONTH(B88))</f>
        <v>3</v>
      </c>
      <c r="J88" s="224" t="n">
        <f aca="false">K88</f>
        <v>1</v>
      </c>
      <c r="K88" s="225" t="n">
        <f aca="false">_xlfn.IFNA(IF(B88&gt;=$K$11, 1,0),0)</f>
        <v>1</v>
      </c>
      <c r="L88" s="60" t="str">
        <f aca="false">IF(I88=0,1,"")</f>
        <v/>
      </c>
      <c r="P88" s="4" t="n">
        <f aca="false">IF(AND(G88&gt;E88, A88&lt;&gt;0, V88&lt;&gt;0), $N$5 * ($P$22 ^ V88 - 1), 0)</f>
        <v>0</v>
      </c>
      <c r="V88" s="71" t="n">
        <f aca="false">IF(B88&lt;EDATE($K$11,12), 0,  DATEDIF(EDATE($K$11,12), B88 + 1, "y") + 1 )</f>
        <v>0</v>
      </c>
    </row>
    <row r="89" customFormat="false" ht="12.75" hidden="false" customHeight="true" outlineLevel="0" collapsed="false">
      <c r="A89" s="228" t="n">
        <f aca="false">IF(OR(G88="",G88&lt;=0,C88&gt;150),NA(),A88+1)</f>
        <v>61</v>
      </c>
      <c r="B89" s="229" t="n">
        <f aca="false">IF(ISERROR(A89),"",IF($D$9="Annually",EDATE(B88,12),EDATE(B88,1)))</f>
        <v>48149</v>
      </c>
      <c r="C89" s="230" t="n">
        <f aca="false">IF(ISERROR(A89),"",C88+IF($D$9="Monthly",1/12,1))</f>
        <v>66.1333333333333</v>
      </c>
      <c r="D89" s="231" t="n">
        <f aca="false">IF(L88&lt;&gt;1, IF(G88&lt;E88,0,D88),IF(L88=1,IFERROR(ROUND(IF($G88 - (E88 * 6) &lt; 0, D88, ($G88 - (E88 * 6)) * $D$8 / 12),2),0) ) )</f>
        <v>20.87</v>
      </c>
      <c r="E89" s="231" t="n">
        <f aca="false">IF(ISERROR(A89), 0,  MAX(0,   MIN(    ROUND(G88 + D89, 2),    ROUND(FV($S$5, IF(type=1, A89, A88), , IF(J89&lt;&gt;1, -$D$20, -$P$16 + P89), 2), 0)   )  ) )</f>
        <v>21</v>
      </c>
      <c r="F89" s="231" t="n">
        <f aca="false">IF(J89&lt;&gt;1, "", IF(J88&lt;&gt;0, F88, $K$12))</f>
        <v>1</v>
      </c>
      <c r="G89" s="232" t="n">
        <f aca="false">IF(ISERROR(A89),"",ROUND(G88-E89+D89,2))</f>
        <v>5122.93</v>
      </c>
      <c r="H89" s="233" t="n">
        <f aca="false">IF(G89&gt;0,IFERROR(H88+(H88*($D$16/12)),""),"")</f>
        <v>20.3697645151278</v>
      </c>
      <c r="I89" s="223" t="n">
        <f aca="false">IF(ISERROR(A90),"",12 - MONTH(B89))</f>
        <v>2</v>
      </c>
      <c r="J89" s="224" t="n">
        <f aca="false">K89</f>
        <v>1</v>
      </c>
      <c r="K89" s="225" t="n">
        <f aca="false">_xlfn.IFNA(IF(B89&gt;=$K$11, 1,0),0)</f>
        <v>1</v>
      </c>
      <c r="L89" s="60" t="str">
        <f aca="false">IF(I89=0,1,"")</f>
        <v/>
      </c>
      <c r="P89" s="4" t="n">
        <f aca="false">IF(AND(G89&gt;E89, A89&lt;&gt;0, V89&lt;&gt;0), $N$5 * ($P$22 ^ V89 - 1), 0)</f>
        <v>0</v>
      </c>
      <c r="V89" s="71" t="n">
        <f aca="false">IF(B89&lt;EDATE($K$11,12), 0,  DATEDIF(EDATE($K$11,12), B89 + 1, "y") + 1 )</f>
        <v>0</v>
      </c>
    </row>
    <row r="90" customFormat="false" ht="12.75" hidden="false" customHeight="true" outlineLevel="0" collapsed="false">
      <c r="A90" s="228" t="n">
        <f aca="false">IF(OR(G89="",G89&lt;=0,C89&gt;150),NA(),A89+1)</f>
        <v>62</v>
      </c>
      <c r="B90" s="229" t="n">
        <f aca="false">IF(ISERROR(A90),"",IF($D$9="Annually",EDATE(B89,12),EDATE(B89,1)))</f>
        <v>48180</v>
      </c>
      <c r="C90" s="230" t="n">
        <f aca="false">IF(ISERROR(A90),"",C89+IF($D$9="Monthly",1/12,1))</f>
        <v>66.2166666666666</v>
      </c>
      <c r="D90" s="231" t="n">
        <f aca="false">IF(L89&lt;&gt;1, IF(G89&lt;E89,0,D89),IF(L89=1,IFERROR(ROUND(IF($G89 - (E89 * 6) &lt; 0, D89, ($G89 - (E89 * 6)) * $D$8 / 12),2),0) ) )</f>
        <v>20.87</v>
      </c>
      <c r="E90" s="231" t="n">
        <f aca="false">IF(ISERROR(A90), 0,  MAX(0,   MIN(    ROUND(G89 + D90, 2),    ROUND(FV($S$5, IF(type=1, A90, A89), , IF(J90&lt;&gt;1, -$D$20, -$P$16 + P90), 2), 0)   )  ) )</f>
        <v>21</v>
      </c>
      <c r="F90" s="231" t="n">
        <f aca="false">IF(J90&lt;&gt;1, "", IF(J89&lt;&gt;0, F89, $K$12))</f>
        <v>1</v>
      </c>
      <c r="G90" s="232" t="n">
        <f aca="false">IF(ISERROR(A90),"",ROUND(G89-E90+D90,2))</f>
        <v>5122.8</v>
      </c>
      <c r="H90" s="237" t="n">
        <f aca="false">IF(G90&gt;0,IFERROR(H89+(H89*($D$16/12)),""),"")</f>
        <v>20.4037141226531</v>
      </c>
      <c r="I90" s="223" t="n">
        <f aca="false">IF(ISERROR(A91),"",12 - MONTH(B90))</f>
        <v>1</v>
      </c>
      <c r="J90" s="224" t="n">
        <f aca="false">K90</f>
        <v>1</v>
      </c>
      <c r="K90" s="225" t="n">
        <f aca="false">_xlfn.IFNA(IF(B90&gt;=$K$11, 1,0),0)</f>
        <v>1</v>
      </c>
      <c r="L90" s="60" t="str">
        <f aca="false">IF(I90=0,1,"")</f>
        <v/>
      </c>
      <c r="P90" s="4" t="n">
        <f aca="false">IF(AND(G90&gt;E90, A90&lt;&gt;0, V90&lt;&gt;0), $N$5 * ($P$22 ^ V90 - 1), 0)</f>
        <v>0</v>
      </c>
      <c r="V90" s="71" t="n">
        <f aca="false">IF(B90&lt;EDATE($K$11,12), 0,  DATEDIF(EDATE($K$11,12), B90 + 1, "y") + 1 )</f>
        <v>0</v>
      </c>
    </row>
    <row r="91" customFormat="false" ht="12.75" hidden="false" customHeight="true" outlineLevel="0" collapsed="false">
      <c r="A91" s="228" t="n">
        <f aca="false">IF(OR(G90="",G90&lt;=0,C90&gt;150),NA(),A90+1)</f>
        <v>63</v>
      </c>
      <c r="B91" s="229" t="n">
        <f aca="false">IF(ISERROR(A91),"",IF($D$9="Annually",EDATE(B90,12),EDATE(B90,1)))</f>
        <v>48210</v>
      </c>
      <c r="C91" s="230" t="n">
        <f aca="false">IF(ISERROR(A91),"",C90+IF($D$9="Monthly",1/12,1))</f>
        <v>66.3</v>
      </c>
      <c r="D91" s="231" t="n">
        <f aca="false">IF(L90&lt;&gt;1, IF(G90&lt;E90,0,D90),IF(L90=1,IFERROR(ROUND(IF($G90 - (E90 * 6) &lt; 0, D90, ($G90 - (E90 * 6)) * $D$8 / 12),2),0) ) )</f>
        <v>20.87</v>
      </c>
      <c r="E91" s="231" t="n">
        <f aca="false">IF(ISERROR(A91), 0,  MAX(0,   MIN(    ROUND(G90 + D91, 2),    ROUND(FV($S$5, IF(type=1, A91, A90), , IF(J91&lt;&gt;1, -$D$20, -$P$16 + P91), 2), 0)   )  ) )</f>
        <v>21</v>
      </c>
      <c r="F91" s="231" t="n">
        <f aca="false">IF(J91&lt;&gt;1, "", IF(J90&lt;&gt;0, F90, $K$12))</f>
        <v>1</v>
      </c>
      <c r="G91" s="232" t="n">
        <f aca="false">IF(ISERROR(A91),"",ROUND(G90-E91+D91,2))</f>
        <v>5122.67</v>
      </c>
      <c r="H91" s="233" t="n">
        <f aca="false">IF(G91&gt;0,IFERROR(H90+(H90*($D$16/12)),""),"")</f>
        <v>20.4377203128575</v>
      </c>
      <c r="I91" s="223" t="n">
        <f aca="false">IF(ISERROR(A92),"",12 - MONTH(B91))</f>
        <v>0</v>
      </c>
      <c r="J91" s="224" t="n">
        <f aca="false">K91</f>
        <v>1</v>
      </c>
      <c r="K91" s="225" t="n">
        <f aca="false">_xlfn.IFNA(IF(B91&gt;=$K$11, 1,0),0)</f>
        <v>1</v>
      </c>
      <c r="L91" s="60" t="n">
        <f aca="false">IF(I91=0,1,"")</f>
        <v>1</v>
      </c>
      <c r="P91" s="4" t="n">
        <f aca="false">IF(AND(G91&gt;E91, A91&lt;&gt;0, V91&lt;&gt;0), $N$5 * ($P$22 ^ V91 - 1), 0)</f>
        <v>0</v>
      </c>
      <c r="V91" s="71" t="n">
        <f aca="false">IF(B91&lt;EDATE($K$11,12), 0,  DATEDIF(EDATE($K$11,12), B91 + 1, "y") + 1 )</f>
        <v>0</v>
      </c>
    </row>
    <row r="92" customFormat="false" ht="12.75" hidden="false" customHeight="true" outlineLevel="0" collapsed="false">
      <c r="A92" s="228" t="n">
        <f aca="false">IF(OR(G91="",G91&lt;=0,C91&gt;150),NA(),A91+1)</f>
        <v>64</v>
      </c>
      <c r="B92" s="229" t="n">
        <f aca="false">IF(ISERROR(A92),"",IF($D$9="Annually",EDATE(B91,12),EDATE(B91,1)))</f>
        <v>48241</v>
      </c>
      <c r="C92" s="230" t="n">
        <f aca="false">IF(ISERROR(A92),"",C91+IF($D$9="Monthly",1/12,1))</f>
        <v>66.3833333333333</v>
      </c>
      <c r="D92" s="231" t="n">
        <f aca="false">IF(L91&lt;&gt;1, IF(G91&lt;E91,0,D91),IF(L91=1,IFERROR(ROUND(IF($G91 - (E91 * 6) &lt; 0, D91, ($G91 - (E91 * 6)) * $D$8 / 12),2),0) ) )</f>
        <v>20.82</v>
      </c>
      <c r="E92" s="231" t="n">
        <f aca="false">IF(ISERROR(A92), 0,  MAX(0,   MIN(    ROUND(G91 + D92, 2),    ROUND(FV($S$5, IF(type=1, A92, A91), , IF(J92&lt;&gt;1, -$D$20, -$P$16 + P92), 2), 0)   )  ) )</f>
        <v>21</v>
      </c>
      <c r="F92" s="231" t="n">
        <f aca="false">IF(J92&lt;&gt;1, "", IF(J91&lt;&gt;0, F91, $K$12))</f>
        <v>1</v>
      </c>
      <c r="G92" s="232" t="n">
        <f aca="false">IF(ISERROR(A92),"",ROUND(G91-E92+D92,2))</f>
        <v>5122.49</v>
      </c>
      <c r="H92" s="237" t="n">
        <f aca="false">IF(G92&gt;0,IFERROR(H91+(H91*($D$16/12)),""),"")</f>
        <v>20.4717831800456</v>
      </c>
      <c r="I92" s="223" t="n">
        <f aca="false">IF(ISERROR(A93),"",12 - MONTH(B92))</f>
        <v>11</v>
      </c>
      <c r="J92" s="224" t="n">
        <f aca="false">K92</f>
        <v>1</v>
      </c>
      <c r="K92" s="225" t="n">
        <f aca="false">_xlfn.IFNA(IF(B92&gt;=$K$11, 1,0),0)</f>
        <v>1</v>
      </c>
      <c r="L92" s="60" t="str">
        <f aca="false">IF(I92=0,1,"")</f>
        <v/>
      </c>
      <c r="P92" s="4" t="n">
        <f aca="false">IF(AND(G92&gt;E92, A92&lt;&gt;0, V92&lt;&gt;0), $N$5 * ($P$22 ^ V92 - 1), 0)</f>
        <v>0</v>
      </c>
      <c r="V92" s="71" t="n">
        <f aca="false">IF(B92&lt;EDATE($K$11,12), 0,  DATEDIF(EDATE($K$11,12), B92 + 1, "y") + 1 )</f>
        <v>1</v>
      </c>
    </row>
    <row r="93" customFormat="false" ht="12.75" hidden="false" customHeight="true" outlineLevel="0" collapsed="false">
      <c r="A93" s="228" t="n">
        <f aca="false">IF(OR(G92="",G92&lt;=0,C92&gt;150),NA(),A92+1)</f>
        <v>65</v>
      </c>
      <c r="B93" s="229" t="n">
        <f aca="false">IF(ISERROR(A93),"",IF($D$9="Annually",EDATE(B92,12),EDATE(B92,1)))</f>
        <v>48272</v>
      </c>
      <c r="C93" s="230" t="n">
        <f aca="false">IF(ISERROR(A93),"",C92+IF($D$9="Monthly",1/12,1))</f>
        <v>66.4666666666666</v>
      </c>
      <c r="D93" s="231" t="n">
        <f aca="false">IF(L92&lt;&gt;1, IF(G92&lt;E92,0,D92),IF(L92=1,IFERROR(ROUND(IF($G92 - (E92 * 6) &lt; 0, D92, ($G92 - (E92 * 6)) * $D$8 / 12),2),0) ) )</f>
        <v>20.82</v>
      </c>
      <c r="E93" s="231" t="n">
        <f aca="false">IF(ISERROR(A93), 0,  MAX(0,   MIN(    ROUND(G92 + D93, 2),    ROUND(FV($S$5, IF(type=1, A93, A92), , IF(J93&lt;&gt;1, -$D$20, -$P$16 + P93), 2), 0)   )  ) )</f>
        <v>21</v>
      </c>
      <c r="F93" s="231" t="n">
        <f aca="false">IF(J93&lt;&gt;1, "", IF(J92&lt;&gt;0, F92, $K$12))</f>
        <v>1</v>
      </c>
      <c r="G93" s="232" t="n">
        <f aca="false">IF(ISERROR(A93),"",ROUND(G92-E93+D93,2))</f>
        <v>5122.31</v>
      </c>
      <c r="H93" s="233" t="n">
        <f aca="false">IF(G93&gt;0,IFERROR(H92+(H92*($D$16/12)),""),"")</f>
        <v>20.505902818679</v>
      </c>
      <c r="I93" s="223" t="n">
        <f aca="false">IF(ISERROR(A94),"",12 - MONTH(B93))</f>
        <v>10</v>
      </c>
      <c r="J93" s="224" t="n">
        <f aca="false">K93</f>
        <v>1</v>
      </c>
      <c r="K93" s="225" t="n">
        <f aca="false">_xlfn.IFNA(IF(B93&gt;=$K$11, 1,0),0)</f>
        <v>1</v>
      </c>
      <c r="L93" s="60" t="str">
        <f aca="false">IF(I93=0,1,"")</f>
        <v/>
      </c>
      <c r="P93" s="4" t="n">
        <f aca="false">IF(AND(G93&gt;E93, A93&lt;&gt;0, V93&lt;&gt;0), $N$5 * ($P$22 ^ V93 - 1), 0)</f>
        <v>0</v>
      </c>
      <c r="V93" s="71" t="n">
        <f aca="false">IF(B93&lt;EDATE($K$11,12), 0,  DATEDIF(EDATE($K$11,12), B93 + 1, "y") + 1 )</f>
        <v>1</v>
      </c>
    </row>
    <row r="94" customFormat="false" ht="12.75" hidden="false" customHeight="true" outlineLevel="0" collapsed="false">
      <c r="A94" s="228" t="n">
        <f aca="false">IF(OR(G93="",G93&lt;=0,C93&gt;150),NA(),A93+1)</f>
        <v>66</v>
      </c>
      <c r="B94" s="229" t="n">
        <f aca="false">IF(ISERROR(A94),"",IF($D$9="Annually",EDATE(B93,12),EDATE(B93,1)))</f>
        <v>48301</v>
      </c>
      <c r="C94" s="230" t="n">
        <f aca="false">IF(ISERROR(A94),"",C93+IF($D$9="Monthly",1/12,1))</f>
        <v>66.5499999999999</v>
      </c>
      <c r="D94" s="231" t="n">
        <f aca="false">IF(L93&lt;&gt;1, IF(G93&lt;E93,0,D93),IF(L93=1,IFERROR(ROUND(IF($G93 - (E93 * 6) &lt; 0, D93, ($G93 - (E93 * 6)) * $D$8 / 12),2),0) ) )</f>
        <v>20.82</v>
      </c>
      <c r="E94" s="231" t="n">
        <f aca="false">IF(ISERROR(A94), 0,  MAX(0,   MIN(    ROUND(G93 + D94, 2),    ROUND(FV($S$5, IF(type=1, A94, A93), , IF(J94&lt;&gt;1, -$D$20, -$P$16 + P94), 2), 0)   )  ) )</f>
        <v>21</v>
      </c>
      <c r="F94" s="231" t="n">
        <f aca="false">IF(J94&lt;&gt;1, "", IF(J93&lt;&gt;0, F93, $K$12))</f>
        <v>1</v>
      </c>
      <c r="G94" s="232" t="n">
        <f aca="false">IF(ISERROR(A94),"",ROUND(G93-E94+D94,2))</f>
        <v>5122.13</v>
      </c>
      <c r="H94" s="237" t="n">
        <f aca="false">IF(G94&gt;0,IFERROR(H93+(H93*($D$16/12)),""),"")</f>
        <v>20.5400793233768</v>
      </c>
      <c r="I94" s="223" t="n">
        <f aca="false">IF(ISERROR(A95),"",12 - MONTH(B94))</f>
        <v>9</v>
      </c>
      <c r="J94" s="224" t="n">
        <f aca="false">K94</f>
        <v>1</v>
      </c>
      <c r="K94" s="225" t="n">
        <f aca="false">_xlfn.IFNA(IF(B94&gt;=$K$11, 1,0),0)</f>
        <v>1</v>
      </c>
      <c r="L94" s="60" t="str">
        <f aca="false">IF(I94=0,1,"")</f>
        <v/>
      </c>
      <c r="P94" s="4" t="n">
        <f aca="false">IF(AND(G94&gt;E94, A94&lt;&gt;0, V94&lt;&gt;0), $N$5 * ($P$22 ^ V94 - 1), 0)</f>
        <v>0</v>
      </c>
      <c r="V94" s="71" t="n">
        <f aca="false">IF(B94&lt;EDATE($K$11,12), 0,  DATEDIF(EDATE($K$11,12), B94 + 1, "y") + 1 )</f>
        <v>1</v>
      </c>
    </row>
    <row r="95" customFormat="false" ht="12.75" hidden="false" customHeight="true" outlineLevel="0" collapsed="false">
      <c r="A95" s="228" t="n">
        <f aca="false">IF(OR(G94="",G94&lt;=0,C94&gt;150),NA(),A94+1)</f>
        <v>67</v>
      </c>
      <c r="B95" s="229" t="n">
        <f aca="false">IF(ISERROR(A95),"",IF($D$9="Annually",EDATE(B94,12),EDATE(B94,1)))</f>
        <v>48332</v>
      </c>
      <c r="C95" s="230" t="n">
        <f aca="false">IF(ISERROR(A95),"",C94+IF($D$9="Monthly",1/12,1))</f>
        <v>66.6333333333333</v>
      </c>
      <c r="D95" s="231" t="n">
        <f aca="false">IF(L94&lt;&gt;1, IF(G94&lt;E94,0,D94),IF(L94=1,IFERROR(ROUND(IF($G94 - (E94 * 6) &lt; 0, D94, ($G94 - (E94 * 6)) * $D$8 / 12),2),0) ) )</f>
        <v>20.82</v>
      </c>
      <c r="E95" s="231" t="n">
        <f aca="false">IF(ISERROR(A95), 0,  MAX(0,   MIN(    ROUND(G94 + D95, 2),    ROUND(FV($S$5, IF(type=1, A95, A94), , IF(J95&lt;&gt;1, -$D$20, -$P$16 + P95), 2), 0)   )  ) )</f>
        <v>21</v>
      </c>
      <c r="F95" s="231" t="n">
        <f aca="false">IF(J95&lt;&gt;1, "", IF(J94&lt;&gt;0, F94, $K$12))</f>
        <v>1</v>
      </c>
      <c r="G95" s="232" t="n">
        <f aca="false">IF(ISERROR(A95),"",ROUND(G94-E95+D95,2))</f>
        <v>5121.95</v>
      </c>
      <c r="H95" s="233" t="n">
        <f aca="false">IF(G95&gt;0,IFERROR(H94+(H94*($D$16/12)),""),"")</f>
        <v>20.5743127889157</v>
      </c>
      <c r="I95" s="223" t="n">
        <f aca="false">IF(ISERROR(A96),"",12 - MONTH(B95))</f>
        <v>8</v>
      </c>
      <c r="J95" s="224" t="n">
        <f aca="false">K95</f>
        <v>1</v>
      </c>
      <c r="K95" s="225" t="n">
        <f aca="false">_xlfn.IFNA(IF(B95&gt;=$K$11, 1,0),0)</f>
        <v>1</v>
      </c>
      <c r="L95" s="60" t="str">
        <f aca="false">IF(I95=0,1,"")</f>
        <v/>
      </c>
      <c r="P95" s="4" t="n">
        <f aca="false">IF(AND(G95&gt;E95, A95&lt;&gt;0, V95&lt;&gt;0), $N$5 * ($P$22 ^ V95 - 1), 0)</f>
        <v>0</v>
      </c>
      <c r="V95" s="71" t="n">
        <f aca="false">IF(B95&lt;EDATE($K$11,12), 0,  DATEDIF(EDATE($K$11,12), B95 + 1, "y") + 1 )</f>
        <v>1</v>
      </c>
    </row>
    <row r="96" customFormat="false" ht="12.75" hidden="false" customHeight="true" outlineLevel="0" collapsed="false">
      <c r="A96" s="228" t="n">
        <f aca="false">IF(OR(G95="",G95&lt;=0,C95&gt;150),NA(),A95+1)</f>
        <v>68</v>
      </c>
      <c r="B96" s="229" t="n">
        <f aca="false">IF(ISERROR(A96),"",IF($D$9="Annually",EDATE(B95,12),EDATE(B95,1)))</f>
        <v>48362</v>
      </c>
      <c r="C96" s="230" t="n">
        <f aca="false">IF(ISERROR(A96),"",C95+IF($D$9="Monthly",1/12,1))</f>
        <v>66.7166666666666</v>
      </c>
      <c r="D96" s="231" t="n">
        <f aca="false">IF(L95&lt;&gt;1, IF(G95&lt;E95,0,D95),IF(L95=1,IFERROR(ROUND(IF($G95 - (E95 * 6) &lt; 0, D95, ($G95 - (E95 * 6)) * $D$8 / 12),2),0) ) )</f>
        <v>20.82</v>
      </c>
      <c r="E96" s="231" t="n">
        <f aca="false">IF(ISERROR(A96), 0,  MAX(0,   MIN(    ROUND(G95 + D96, 2),    ROUND(FV($S$5, IF(type=1, A96, A95), , IF(J96&lt;&gt;1, -$D$20, -$P$16 + P96), 2), 0)   )  ) )</f>
        <v>21</v>
      </c>
      <c r="F96" s="231" t="n">
        <f aca="false">IF(J96&lt;&gt;1, "", IF(J95&lt;&gt;0, F95, $K$12))</f>
        <v>1</v>
      </c>
      <c r="G96" s="232" t="n">
        <f aca="false">IF(ISERROR(A96),"",ROUND(G95-E96+D96,2))</f>
        <v>5121.77</v>
      </c>
      <c r="H96" s="237" t="n">
        <f aca="false">IF(G96&gt;0,IFERROR(H95+(H95*($D$16/12)),""),"")</f>
        <v>20.6086033102306</v>
      </c>
      <c r="I96" s="223" t="n">
        <f aca="false">IF(ISERROR(A97),"",12 - MONTH(B96))</f>
        <v>7</v>
      </c>
      <c r="J96" s="224" t="n">
        <f aca="false">K96</f>
        <v>1</v>
      </c>
      <c r="K96" s="225" t="n">
        <f aca="false">_xlfn.IFNA(IF(B96&gt;=$K$11, 1,0),0)</f>
        <v>1</v>
      </c>
      <c r="L96" s="60" t="str">
        <f aca="false">IF(I96=0,1,"")</f>
        <v/>
      </c>
      <c r="P96" s="4" t="n">
        <f aca="false">IF(AND(G96&gt;E96, A96&lt;&gt;0, V96&lt;&gt;0), $N$5 * ($P$22 ^ V96 - 1), 0)</f>
        <v>0</v>
      </c>
      <c r="V96" s="71" t="n">
        <f aca="false">IF(B96&lt;EDATE($K$11,12), 0,  DATEDIF(EDATE($K$11,12), B96 + 1, "y") + 1 )</f>
        <v>1</v>
      </c>
    </row>
    <row r="97" customFormat="false" ht="12.75" hidden="false" customHeight="true" outlineLevel="0" collapsed="false">
      <c r="A97" s="228" t="n">
        <f aca="false">IF(OR(G96="",G96&lt;=0,C96&gt;150),NA(),A96+1)</f>
        <v>69</v>
      </c>
      <c r="B97" s="229" t="n">
        <f aca="false">IF(ISERROR(A97),"",IF($D$9="Annually",EDATE(B96,12),EDATE(B96,1)))</f>
        <v>48393</v>
      </c>
      <c r="C97" s="230" t="n">
        <f aca="false">IF(ISERROR(A97),"",C96+IF($D$9="Monthly",1/12,1))</f>
        <v>66.7999999999999</v>
      </c>
      <c r="D97" s="231" t="n">
        <f aca="false">IF(L96&lt;&gt;1, IF(G96&lt;E96,0,D96),IF(L96=1,IFERROR(ROUND(IF($G96 - (E96 * 6) &lt; 0, D96, ($G96 - (E96 * 6)) * $D$8 / 12),2),0) ) )</f>
        <v>20.82</v>
      </c>
      <c r="E97" s="231" t="n">
        <f aca="false">IF(ISERROR(A97), 0,  MAX(0,   MIN(    ROUND(G96 + D97, 2),    ROUND(FV($S$5, IF(type=1, A97, A96), , IF(J97&lt;&gt;1, -$D$20, -$P$16 + P97), 2), 0)   )  ) )</f>
        <v>21</v>
      </c>
      <c r="F97" s="231" t="n">
        <f aca="false">IF(J97&lt;&gt;1, "", IF(J96&lt;&gt;0, F96, $K$12))</f>
        <v>1</v>
      </c>
      <c r="G97" s="232" t="n">
        <f aca="false">IF(ISERROR(A97),"",ROUND(G96-E97+D97,2))</f>
        <v>5121.59</v>
      </c>
      <c r="H97" s="233" t="n">
        <f aca="false">IF(G97&gt;0,IFERROR(H96+(H96*($D$16/12)),""),"")</f>
        <v>20.6429509824143</v>
      </c>
      <c r="I97" s="223" t="n">
        <f aca="false">IF(ISERROR(A98),"",12 - MONTH(B97))</f>
        <v>6</v>
      </c>
      <c r="J97" s="224" t="n">
        <f aca="false">K97</f>
        <v>1</v>
      </c>
      <c r="K97" s="225" t="n">
        <f aca="false">_xlfn.IFNA(IF(B97&gt;=$K$11, 1,0),0)</f>
        <v>1</v>
      </c>
      <c r="L97" s="60" t="str">
        <f aca="false">IF(I97=0,1,"")</f>
        <v/>
      </c>
      <c r="P97" s="4" t="n">
        <f aca="false">IF(AND(G97&gt;E97, A97&lt;&gt;0, V97&lt;&gt;0), $N$5 * ($P$22 ^ V97 - 1), 0)</f>
        <v>0</v>
      </c>
      <c r="V97" s="71" t="n">
        <f aca="false">IF(B97&lt;EDATE($K$11,12), 0,  DATEDIF(EDATE($K$11,12), B97 + 1, "y") + 1 )</f>
        <v>1</v>
      </c>
    </row>
    <row r="98" customFormat="false" ht="12.75" hidden="false" customHeight="true" outlineLevel="0" collapsed="false">
      <c r="A98" s="228" t="n">
        <f aca="false">IF(OR(G97="",G97&lt;=0,C97&gt;150),NA(),A97+1)</f>
        <v>70</v>
      </c>
      <c r="B98" s="229" t="n">
        <f aca="false">IF(ISERROR(A98),"",IF($D$9="Annually",EDATE(B97,12),EDATE(B97,1)))</f>
        <v>48423</v>
      </c>
      <c r="C98" s="230" t="n">
        <f aca="false">IF(ISERROR(A98),"",C97+IF($D$9="Monthly",1/12,1))</f>
        <v>66.8833333333333</v>
      </c>
      <c r="D98" s="231" t="n">
        <f aca="false">IF(L97&lt;&gt;1, IF(G97&lt;E97,0,D97),IF(L97=1,IFERROR(ROUND(IF($G97 - (E97 * 6) &lt; 0, D97, ($G97 - (E97 * 6)) * $D$8 / 12),2),0) ) )</f>
        <v>20.82</v>
      </c>
      <c r="E98" s="231" t="n">
        <f aca="false">IF(ISERROR(A98), 0,  MAX(0,   MIN(    ROUND(G97 + D98, 2),    ROUND(FV($S$5, IF(type=1, A98, A97), , IF(J98&lt;&gt;1, -$D$20, -$P$16 + P98), 2), 0)   )  ) )</f>
        <v>21</v>
      </c>
      <c r="F98" s="231" t="n">
        <f aca="false">IF(J98&lt;&gt;1, "", IF(J97&lt;&gt;0, F97, $K$12))</f>
        <v>1</v>
      </c>
      <c r="G98" s="232" t="n">
        <f aca="false">IF(ISERROR(A98),"",ROUND(G97-E98+D98,2))</f>
        <v>5121.41</v>
      </c>
      <c r="H98" s="237" t="n">
        <f aca="false">IF(G98&gt;0,IFERROR(H97+(H97*($D$16/12)),""),"")</f>
        <v>20.6773559007183</v>
      </c>
      <c r="I98" s="223" t="n">
        <f aca="false">IF(ISERROR(A99),"",12 - MONTH(B98))</f>
        <v>5</v>
      </c>
      <c r="J98" s="224" t="n">
        <f aca="false">K98</f>
        <v>1</v>
      </c>
      <c r="K98" s="225" t="n">
        <f aca="false">_xlfn.IFNA(IF(B98&gt;=$K$11, 1,0),0)</f>
        <v>1</v>
      </c>
      <c r="L98" s="60" t="str">
        <f aca="false">IF(I98=0,1,"")</f>
        <v/>
      </c>
      <c r="P98" s="4" t="n">
        <f aca="false">IF(AND(G98&gt;E98, A98&lt;&gt;0, V98&lt;&gt;0), $N$5 * ($P$22 ^ V98 - 1), 0)</f>
        <v>0</v>
      </c>
      <c r="V98" s="71" t="n">
        <f aca="false">IF(B98&lt;EDATE($K$11,12), 0,  DATEDIF(EDATE($K$11,12), B98 + 1, "y") + 1 )</f>
        <v>1</v>
      </c>
    </row>
    <row r="99" customFormat="false" ht="12.75" hidden="false" customHeight="true" outlineLevel="0" collapsed="false">
      <c r="A99" s="228" t="n">
        <f aca="false">IF(OR(G98="",G98&lt;=0,C98&gt;150),NA(),A98+1)</f>
        <v>71</v>
      </c>
      <c r="B99" s="229" t="n">
        <f aca="false">IF(ISERROR(A99),"",IF($D$9="Annually",EDATE(B98,12),EDATE(B98,1)))</f>
        <v>48454</v>
      </c>
      <c r="C99" s="230" t="n">
        <f aca="false">IF(ISERROR(A99),"",C98+IF($D$9="Monthly",1/12,1))</f>
        <v>66.9666666666666</v>
      </c>
      <c r="D99" s="231" t="n">
        <f aca="false">IF(L98&lt;&gt;1, IF(G98&lt;E98,0,D98),IF(L98=1,IFERROR(ROUND(IF($G98 - (E98 * 6) &lt; 0, D98, ($G98 - (E98 * 6)) * $D$8 / 12),2),0) ) )</f>
        <v>20.82</v>
      </c>
      <c r="E99" s="231" t="n">
        <f aca="false">IF(ISERROR(A99), 0,  MAX(0,   MIN(    ROUND(G98 + D99, 2),    ROUND(FV($S$5, IF(type=1, A99, A98), , IF(J99&lt;&gt;1, -$D$20, -$P$16 + P99), 2), 0)   )  ) )</f>
        <v>21</v>
      </c>
      <c r="F99" s="231" t="n">
        <f aca="false">IF(J99&lt;&gt;1, "", IF(J98&lt;&gt;0, F98, $K$12))</f>
        <v>1</v>
      </c>
      <c r="G99" s="232" t="n">
        <f aca="false">IF(ISERROR(A99),"",ROUND(G98-E99+D99,2))</f>
        <v>5121.23</v>
      </c>
      <c r="H99" s="233" t="n">
        <f aca="false">IF(G99&gt;0,IFERROR(H98+(H98*($D$16/12)),""),"")</f>
        <v>20.7118181605529</v>
      </c>
      <c r="I99" s="223" t="n">
        <f aca="false">IF(ISERROR(A100),"",12 - MONTH(B99))</f>
        <v>4</v>
      </c>
      <c r="J99" s="224" t="n">
        <f aca="false">K99</f>
        <v>1</v>
      </c>
      <c r="K99" s="225" t="n">
        <f aca="false">_xlfn.IFNA(IF(B99&gt;=$K$11, 1,0),0)</f>
        <v>1</v>
      </c>
      <c r="L99" s="60" t="str">
        <f aca="false">IF(I99=0,1,"")</f>
        <v/>
      </c>
      <c r="P99" s="4" t="n">
        <f aca="false">IF(AND(G99&gt;E99, A99&lt;&gt;0, V99&lt;&gt;0), $N$5 * ($P$22 ^ V99 - 1), 0)</f>
        <v>0</v>
      </c>
      <c r="V99" s="71" t="n">
        <f aca="false">IF(B99&lt;EDATE($K$11,12), 0,  DATEDIF(EDATE($K$11,12), B99 + 1, "y") + 1 )</f>
        <v>1</v>
      </c>
    </row>
    <row r="100" customFormat="false" ht="12.75" hidden="false" customHeight="true" outlineLevel="0" collapsed="false">
      <c r="A100" s="228" t="n">
        <f aca="false">IF(OR(G99="",G99&lt;=0,C99&gt;150),NA(),A99+1)</f>
        <v>72</v>
      </c>
      <c r="B100" s="229" t="n">
        <f aca="false">IF(ISERROR(A100),"",IF($D$9="Annually",EDATE(B99,12),EDATE(B99,1)))</f>
        <v>48485</v>
      </c>
      <c r="C100" s="230" t="n">
        <f aca="false">IF(ISERROR(A100),"",C99+IF($D$9="Monthly",1/12,1))</f>
        <v>67.0499999999999</v>
      </c>
      <c r="D100" s="231" t="n">
        <f aca="false">IF(L99&lt;&gt;1, IF(G99&lt;E99,0,D99),IF(L99=1,IFERROR(ROUND(IF($G99 - (E99 * 6) &lt; 0, D99, ($G99 - (E99 * 6)) * $D$8 / 12),2),0) ) )</f>
        <v>20.82</v>
      </c>
      <c r="E100" s="231" t="n">
        <f aca="false">IF(ISERROR(A100), 0,  MAX(0,   MIN(    ROUND(G99 + D100, 2),    ROUND(FV($S$5, IF(type=1, A100, A99), , IF(J100&lt;&gt;1, -$D$20, -$P$16 + P100), 2), 0)   )  ) )</f>
        <v>21</v>
      </c>
      <c r="F100" s="231" t="n">
        <f aca="false">IF(J100&lt;&gt;1, "", IF(J99&lt;&gt;0, F99, $K$12))</f>
        <v>1</v>
      </c>
      <c r="G100" s="232" t="n">
        <f aca="false">IF(ISERROR(A100),"",ROUND(G99-E100+D100,2))</f>
        <v>5121.05</v>
      </c>
      <c r="H100" s="237" t="n">
        <f aca="false">IF(G100&gt;0,IFERROR(H99+(H99*($D$16/12)),""),"")</f>
        <v>20.7463378574871</v>
      </c>
      <c r="I100" s="223" t="n">
        <f aca="false">IF(ISERROR(A101),"",12 - MONTH(B100))</f>
        <v>3</v>
      </c>
      <c r="J100" s="224" t="n">
        <f aca="false">K100</f>
        <v>1</v>
      </c>
      <c r="K100" s="225" t="n">
        <f aca="false">_xlfn.IFNA(IF(B100&gt;=$K$11, 1,0),0)</f>
        <v>1</v>
      </c>
      <c r="L100" s="60" t="str">
        <f aca="false">IF(I100=0,1,"")</f>
        <v/>
      </c>
      <c r="P100" s="4" t="n">
        <f aca="false">IF(AND(G100&gt;E100, A100&lt;&gt;0, V100&lt;&gt;0), $N$5 * ($P$22 ^ V100 - 1), 0)</f>
        <v>0</v>
      </c>
      <c r="V100" s="71" t="n">
        <f aca="false">IF(B100&lt;EDATE($K$11,12), 0,  DATEDIF(EDATE($K$11,12), B100 + 1, "y") + 1 )</f>
        <v>1</v>
      </c>
    </row>
    <row r="101" customFormat="false" ht="12.75" hidden="false" customHeight="true" outlineLevel="0" collapsed="false">
      <c r="A101" s="228" t="n">
        <f aca="false">IF(OR(G100="",G100&lt;=0,C100&gt;150),NA(),A100+1)</f>
        <v>73</v>
      </c>
      <c r="B101" s="229" t="n">
        <f aca="false">IF(ISERROR(A101),"",IF($D$9="Annually",EDATE(B100,12),EDATE(B100,1)))</f>
        <v>48515</v>
      </c>
      <c r="C101" s="230" t="n">
        <f aca="false">IF(ISERROR(A101),"",C100+IF($D$9="Monthly",1/12,1))</f>
        <v>67.1333333333332</v>
      </c>
      <c r="D101" s="231" t="n">
        <f aca="false">IF(L100&lt;&gt;1, IF(G100&lt;E100,0,D100),IF(L100=1,IFERROR(ROUND(IF($G100 - (E100 * 6) &lt; 0, D100, ($G100 - (E100 * 6)) * $D$8 / 12),2),0) ) )</f>
        <v>20.82</v>
      </c>
      <c r="E101" s="231" t="n">
        <f aca="false">IF(ISERROR(A101), 0,  MAX(0,   MIN(    ROUND(G100 + D101, 2),    ROUND(FV($S$5, IF(type=1, A101, A100), , IF(J101&lt;&gt;1, -$D$20, -$P$16 + P101), 2), 0)   )  ) )</f>
        <v>21</v>
      </c>
      <c r="F101" s="231" t="n">
        <f aca="false">IF(J101&lt;&gt;1, "", IF(J100&lt;&gt;0, F100, $K$12))</f>
        <v>1</v>
      </c>
      <c r="G101" s="232" t="n">
        <f aca="false">IF(ISERROR(A101),"",ROUND(G100-E101+D101,2))</f>
        <v>5120.87</v>
      </c>
      <c r="H101" s="233" t="n">
        <f aca="false">IF(G101&gt;0,IFERROR(H100+(H100*($D$16/12)),""),"")</f>
        <v>20.7809150872496</v>
      </c>
      <c r="I101" s="223" t="n">
        <f aca="false">IF(ISERROR(A102),"",12 - MONTH(B101))</f>
        <v>2</v>
      </c>
      <c r="J101" s="224" t="n">
        <f aca="false">K101</f>
        <v>1</v>
      </c>
      <c r="K101" s="225" t="n">
        <f aca="false">_xlfn.IFNA(IF(B101&gt;=$K$11, 1,0),0)</f>
        <v>1</v>
      </c>
      <c r="L101" s="60" t="str">
        <f aca="false">IF(I101=0,1,"")</f>
        <v/>
      </c>
      <c r="P101" s="4" t="n">
        <f aca="false">IF(AND(G101&gt;E101, A101&lt;&gt;0, V101&lt;&gt;0), $N$5 * ($P$22 ^ V101 - 1), 0)</f>
        <v>0</v>
      </c>
      <c r="V101" s="71" t="n">
        <f aca="false">IF(B101&lt;EDATE($K$11,12), 0,  DATEDIF(EDATE($K$11,12), B101 + 1, "y") + 1 )</f>
        <v>1</v>
      </c>
    </row>
    <row r="102" customFormat="false" ht="12.75" hidden="false" customHeight="true" outlineLevel="0" collapsed="false">
      <c r="A102" s="228" t="n">
        <f aca="false">IF(OR(G101="",G101&lt;=0,C101&gt;150),NA(),A101+1)</f>
        <v>74</v>
      </c>
      <c r="B102" s="229" t="n">
        <f aca="false">IF(ISERROR(A102),"",IF($D$9="Annually",EDATE(B101,12),EDATE(B101,1)))</f>
        <v>48546</v>
      </c>
      <c r="C102" s="230" t="n">
        <f aca="false">IF(ISERROR(A102),"",C101+IF($D$9="Monthly",1/12,1))</f>
        <v>67.2166666666666</v>
      </c>
      <c r="D102" s="231" t="n">
        <f aca="false">IF(L101&lt;&gt;1, IF(G101&lt;E101,0,D101),IF(L101=1,IFERROR(ROUND(IF($G101 - (E101 * 6) &lt; 0, D101, ($G101 - (E101 * 6)) * $D$8 / 12),2),0) ) )</f>
        <v>20.82</v>
      </c>
      <c r="E102" s="231" t="n">
        <f aca="false">IF(ISERROR(A102), 0,  MAX(0,   MIN(    ROUND(G101 + D102, 2),    ROUND(FV($S$5, IF(type=1, A102, A101), , IF(J102&lt;&gt;1, -$D$20, -$P$16 + P102), 2), 0)   )  ) )</f>
        <v>21</v>
      </c>
      <c r="F102" s="231" t="n">
        <f aca="false">IF(J102&lt;&gt;1, "", IF(J101&lt;&gt;0, F101, $K$12))</f>
        <v>1</v>
      </c>
      <c r="G102" s="232" t="n">
        <f aca="false">IF(ISERROR(A102),"",ROUND(G101-E102+D102,2))</f>
        <v>5120.69</v>
      </c>
      <c r="H102" s="237" t="n">
        <f aca="false">IF(G102&gt;0,IFERROR(H101+(H101*($D$16/12)),""),"")</f>
        <v>20.8155499457284</v>
      </c>
      <c r="I102" s="223" t="n">
        <f aca="false">IF(ISERROR(A103),"",12 - MONTH(B102))</f>
        <v>1</v>
      </c>
      <c r="J102" s="224" t="n">
        <f aca="false">K102</f>
        <v>1</v>
      </c>
      <c r="K102" s="225" t="n">
        <f aca="false">_xlfn.IFNA(IF(B102&gt;=$K$11, 1,0),0)</f>
        <v>1</v>
      </c>
      <c r="L102" s="60" t="str">
        <f aca="false">IF(I102=0,1,"")</f>
        <v/>
      </c>
      <c r="P102" s="4" t="n">
        <f aca="false">IF(AND(G102&gt;E102, A102&lt;&gt;0, V102&lt;&gt;0), $N$5 * ($P$22 ^ V102 - 1), 0)</f>
        <v>0</v>
      </c>
      <c r="V102" s="71" t="n">
        <f aca="false">IF(B102&lt;EDATE($K$11,12), 0,  DATEDIF(EDATE($K$11,12), B102 + 1, "y") + 1 )</f>
        <v>1</v>
      </c>
    </row>
    <row r="103" customFormat="false" ht="12.75" hidden="false" customHeight="true" outlineLevel="0" collapsed="false">
      <c r="A103" s="228" t="n">
        <f aca="false">IF(OR(G102="",G102&lt;=0,C102&gt;150),NA(),A102+1)</f>
        <v>75</v>
      </c>
      <c r="B103" s="229" t="n">
        <f aca="false">IF(ISERROR(A103),"",IF($D$9="Annually",EDATE(B102,12),EDATE(B102,1)))</f>
        <v>48576</v>
      </c>
      <c r="C103" s="230" t="n">
        <f aca="false">IF(ISERROR(A103),"",C102+IF($D$9="Monthly",1/12,1))</f>
        <v>67.2999999999999</v>
      </c>
      <c r="D103" s="231" t="n">
        <f aca="false">IF(L102&lt;&gt;1, IF(G102&lt;E102,0,D102),IF(L102=1,IFERROR(ROUND(IF($G102 - (E102 * 6) &lt; 0, D102, ($G102 - (E102 * 6)) * $D$8 / 12),2),0) ) )</f>
        <v>20.82</v>
      </c>
      <c r="E103" s="231" t="n">
        <f aca="false">IF(ISERROR(A103), 0,  MAX(0,   MIN(    ROUND(G102 + D103, 2),    ROUND(FV($S$5, IF(type=1, A103, A102), , IF(J103&lt;&gt;1, -$D$20, -$P$16 + P103), 2), 0)   )  ) )</f>
        <v>21</v>
      </c>
      <c r="F103" s="231" t="n">
        <f aca="false">IF(J103&lt;&gt;1, "", IF(J102&lt;&gt;0, F102, $K$12))</f>
        <v>1</v>
      </c>
      <c r="G103" s="232" t="n">
        <f aca="false">IF(ISERROR(A103),"",ROUND(G102-E103+D103,2))</f>
        <v>5120.51</v>
      </c>
      <c r="H103" s="233" t="n">
        <f aca="false">IF(G103&gt;0,IFERROR(H102+(H102*($D$16/12)),""),"")</f>
        <v>20.8502425289712</v>
      </c>
      <c r="I103" s="223" t="n">
        <f aca="false">IF(ISERROR(A104),"",12 - MONTH(B103))</f>
        <v>0</v>
      </c>
      <c r="J103" s="224" t="n">
        <f aca="false">K103</f>
        <v>1</v>
      </c>
      <c r="K103" s="225" t="n">
        <f aca="false">_xlfn.IFNA(IF(B103&gt;=$K$11, 1,0),0)</f>
        <v>1</v>
      </c>
      <c r="L103" s="60" t="n">
        <f aca="false">IF(I103=0,1,"")</f>
        <v>1</v>
      </c>
      <c r="P103" s="4" t="n">
        <f aca="false">IF(AND(G103&gt;E103, A103&lt;&gt;0, V103&lt;&gt;0), $N$5 * ($P$22 ^ V103 - 1), 0)</f>
        <v>0</v>
      </c>
      <c r="V103" s="71" t="n">
        <f aca="false">IF(B103&lt;EDATE($K$11,12), 0,  DATEDIF(EDATE($K$11,12), B103 + 1, "y") + 1 )</f>
        <v>1</v>
      </c>
    </row>
    <row r="104" customFormat="false" ht="12.75" hidden="false" customHeight="true" outlineLevel="0" collapsed="false">
      <c r="A104" s="228" t="n">
        <f aca="false">IF(OR(G103="",G103&lt;=0,C103&gt;150),NA(),A103+1)</f>
        <v>76</v>
      </c>
      <c r="B104" s="229" t="n">
        <f aca="false">IF(ISERROR(A104),"",IF($D$9="Annually",EDATE(B103,12),EDATE(B103,1)))</f>
        <v>48607</v>
      </c>
      <c r="C104" s="230" t="n">
        <f aca="false">IF(ISERROR(A104),"",C103+IF($D$9="Monthly",1/12,1))</f>
        <v>67.3833333333332</v>
      </c>
      <c r="D104" s="231" t="n">
        <f aca="false">IF(L103&lt;&gt;1, IF(G103&lt;E103,0,D103),IF(L103=1,IFERROR(ROUND(IF($G103 - (E103 * 6) &lt; 0, D103, ($G103 - (E103 * 6)) * $D$8 / 12),2),0) ) )</f>
        <v>20.81</v>
      </c>
      <c r="E104" s="231" t="n">
        <f aca="false">IF(ISERROR(A104), 0,  MAX(0,   MIN(    ROUND(G103 + D104, 2),    ROUND(FV($S$5, IF(type=1, A104, A103), , IF(J104&lt;&gt;1, -$D$20, -$P$16 + P104), 2), 0)   )  ) )</f>
        <v>21</v>
      </c>
      <c r="F104" s="231" t="n">
        <f aca="false">IF(J104&lt;&gt;1, "", IF(J103&lt;&gt;0, F103, $K$12))</f>
        <v>1</v>
      </c>
      <c r="G104" s="232" t="n">
        <f aca="false">IF(ISERROR(A104),"",ROUND(G103-E104+D104,2))</f>
        <v>5120.32</v>
      </c>
      <c r="H104" s="237" t="n">
        <f aca="false">IF(G104&gt;0,IFERROR(H103+(H103*($D$16/12)),""),"")</f>
        <v>20.8849929331862</v>
      </c>
      <c r="I104" s="223" t="n">
        <f aca="false">IF(ISERROR(A105),"",12 - MONTH(B104))</f>
        <v>11</v>
      </c>
      <c r="J104" s="224" t="n">
        <f aca="false">K104</f>
        <v>1</v>
      </c>
      <c r="K104" s="225" t="n">
        <f aca="false">_xlfn.IFNA(IF(B104&gt;=$K$11, 1,0),0)</f>
        <v>1</v>
      </c>
      <c r="L104" s="60" t="str">
        <f aca="false">IF(I104=0,1,"")</f>
        <v/>
      </c>
      <c r="P104" s="4" t="n">
        <f aca="false">IF(AND(G104&gt;E104, A104&lt;&gt;0, V104&lt;&gt;0), $N$5 * ($P$22 ^ V104 - 1), 0)</f>
        <v>0</v>
      </c>
      <c r="V104" s="71" t="n">
        <f aca="false">IF(B104&lt;EDATE($K$11,12), 0,  DATEDIF(EDATE($K$11,12), B104 + 1, "y") + 1 )</f>
        <v>2</v>
      </c>
    </row>
    <row r="105" customFormat="false" ht="12.75" hidden="false" customHeight="true" outlineLevel="0" collapsed="false">
      <c r="A105" s="228" t="n">
        <f aca="false">IF(OR(G104="",G104&lt;=0,C104&gt;150),NA(),A104+1)</f>
        <v>77</v>
      </c>
      <c r="B105" s="229" t="n">
        <f aca="false">IF(ISERROR(A105),"",IF($D$9="Annually",EDATE(B104,12),EDATE(B104,1)))</f>
        <v>48638</v>
      </c>
      <c r="C105" s="230" t="n">
        <f aca="false">IF(ISERROR(A105),"",C104+IF($D$9="Monthly",1/12,1))</f>
        <v>67.4666666666666</v>
      </c>
      <c r="D105" s="231" t="n">
        <f aca="false">IF(L104&lt;&gt;1, IF(G104&lt;E104,0,D104),IF(L104=1,IFERROR(ROUND(IF($G104 - (E104 * 6) &lt; 0, D104, ($G104 - (E104 * 6)) * $D$8 / 12),2),0) ) )</f>
        <v>20.81</v>
      </c>
      <c r="E105" s="231" t="n">
        <f aca="false">IF(ISERROR(A105), 0,  MAX(0,   MIN(    ROUND(G104 + D105, 2),    ROUND(FV($S$5, IF(type=1, A105, A104), , IF(J105&lt;&gt;1, -$D$20, -$P$16 + P105), 2), 0)   )  ) )</f>
        <v>21</v>
      </c>
      <c r="F105" s="231" t="n">
        <f aca="false">IF(J105&lt;&gt;1, "", IF(J104&lt;&gt;0, F104, $K$12))</f>
        <v>1</v>
      </c>
      <c r="G105" s="232" t="n">
        <f aca="false">IF(ISERROR(A105),"",ROUND(G104-E105+D105,2))</f>
        <v>5120.13</v>
      </c>
      <c r="H105" s="233" t="n">
        <f aca="false">IF(G105&gt;0,IFERROR(H104+(H104*($D$16/12)),""),"")</f>
        <v>20.9198012547415</v>
      </c>
      <c r="I105" s="223" t="n">
        <f aca="false">IF(ISERROR(A106),"",12 - MONTH(B105))</f>
        <v>10</v>
      </c>
      <c r="J105" s="224" t="n">
        <f aca="false">K105</f>
        <v>1</v>
      </c>
      <c r="K105" s="225" t="n">
        <f aca="false">_xlfn.IFNA(IF(B105&gt;=$K$11, 1,0),0)</f>
        <v>1</v>
      </c>
      <c r="L105" s="60" t="str">
        <f aca="false">IF(I105=0,1,"")</f>
        <v/>
      </c>
      <c r="P105" s="4" t="n">
        <f aca="false">IF(AND(G105&gt;E105, A105&lt;&gt;0, V105&lt;&gt;0), $N$5 * ($P$22 ^ V105 - 1), 0)</f>
        <v>0</v>
      </c>
      <c r="V105" s="71" t="n">
        <f aca="false">IF(B105&lt;EDATE($K$11,12), 0,  DATEDIF(EDATE($K$11,12), B105 + 1, "y") + 1 )</f>
        <v>2</v>
      </c>
    </row>
    <row r="106" customFormat="false" ht="12.75" hidden="false" customHeight="true" outlineLevel="0" collapsed="false">
      <c r="A106" s="228" t="n">
        <f aca="false">IF(OR(G105="",G105&lt;=0,C105&gt;150),NA(),A105+1)</f>
        <v>78</v>
      </c>
      <c r="B106" s="229" t="n">
        <f aca="false">IF(ISERROR(A106),"",IF($D$9="Annually",EDATE(B105,12),EDATE(B105,1)))</f>
        <v>48666</v>
      </c>
      <c r="C106" s="230" t="n">
        <f aca="false">IF(ISERROR(A106),"",C105+IF($D$9="Monthly",1/12,1))</f>
        <v>67.5499999999999</v>
      </c>
      <c r="D106" s="231" t="n">
        <f aca="false">IF(L105&lt;&gt;1, IF(G105&lt;E105,0,D105),IF(L105=1,IFERROR(ROUND(IF($G105 - (E105 * 6) &lt; 0, D105, ($G105 - (E105 * 6)) * $D$8 / 12),2),0) ) )</f>
        <v>20.81</v>
      </c>
      <c r="E106" s="231" t="n">
        <f aca="false">IF(ISERROR(A106), 0,  MAX(0,   MIN(    ROUND(G105 + D106, 2),    ROUND(FV($S$5, IF(type=1, A106, A105), , IF(J106&lt;&gt;1, -$D$20, -$P$16 + P106), 2), 0)   )  ) )</f>
        <v>21</v>
      </c>
      <c r="F106" s="231" t="n">
        <f aca="false">IF(J106&lt;&gt;1, "", IF(J105&lt;&gt;0, F105, $K$12))</f>
        <v>1</v>
      </c>
      <c r="G106" s="232" t="n">
        <f aca="false">IF(ISERROR(A106),"",ROUND(G105-E106+D106,2))</f>
        <v>5119.94</v>
      </c>
      <c r="H106" s="237" t="n">
        <f aca="false">IF(G106&gt;0,IFERROR(H105+(H105*($D$16/12)),""),"")</f>
        <v>20.9546675901661</v>
      </c>
      <c r="I106" s="223" t="n">
        <f aca="false">IF(ISERROR(A107),"",12 - MONTH(B106))</f>
        <v>9</v>
      </c>
      <c r="J106" s="224" t="n">
        <f aca="false">K106</f>
        <v>1</v>
      </c>
      <c r="K106" s="225" t="n">
        <f aca="false">_xlfn.IFNA(IF(B106&gt;=$K$11, 1,0),0)</f>
        <v>1</v>
      </c>
      <c r="L106" s="60" t="str">
        <f aca="false">IF(I106=0,1,"")</f>
        <v/>
      </c>
      <c r="P106" s="4" t="n">
        <f aca="false">IF(AND(G106&gt;E106, A106&lt;&gt;0, V106&lt;&gt;0), $N$5 * ($P$22 ^ V106 - 1), 0)</f>
        <v>0</v>
      </c>
      <c r="V106" s="71" t="n">
        <f aca="false">IF(B106&lt;EDATE($K$11,12), 0,  DATEDIF(EDATE($K$11,12), B106 + 1, "y") + 1 )</f>
        <v>2</v>
      </c>
    </row>
    <row r="107" customFormat="false" ht="12.75" hidden="false" customHeight="true" outlineLevel="0" collapsed="false">
      <c r="A107" s="228" t="n">
        <f aca="false">IF(OR(G106="",G106&lt;=0,C106&gt;150),NA(),A106+1)</f>
        <v>79</v>
      </c>
      <c r="B107" s="229" t="n">
        <f aca="false">IF(ISERROR(A107),"",IF($D$9="Annually",EDATE(B106,12),EDATE(B106,1)))</f>
        <v>48697</v>
      </c>
      <c r="C107" s="230" t="n">
        <f aca="false">IF(ISERROR(A107),"",C106+IF($D$9="Monthly",1/12,1))</f>
        <v>67.6333333333332</v>
      </c>
      <c r="D107" s="231" t="n">
        <f aca="false">IF(L106&lt;&gt;1, IF(G106&lt;E106,0,D106),IF(L106=1,IFERROR(ROUND(IF($G106 - (E106 * 6) &lt; 0, D106, ($G106 - (E106 * 6)) * $D$8 / 12),2),0) ) )</f>
        <v>20.81</v>
      </c>
      <c r="E107" s="231" t="n">
        <f aca="false">IF(ISERROR(A107), 0,  MAX(0,   MIN(    ROUND(G106 + D107, 2),    ROUND(FV($S$5, IF(type=1, A107, A106), , IF(J107&lt;&gt;1, -$D$20, -$P$16 + P107), 2), 0)   )  ) )</f>
        <v>21</v>
      </c>
      <c r="F107" s="231" t="n">
        <f aca="false">IF(J107&lt;&gt;1, "", IF(J106&lt;&gt;0, F106, $K$12))</f>
        <v>1</v>
      </c>
      <c r="G107" s="232" t="n">
        <f aca="false">IF(ISERROR(A107),"",ROUND(G106-E107+D107,2))</f>
        <v>5119.75</v>
      </c>
      <c r="H107" s="233" t="n">
        <f aca="false">IF(G107&gt;0,IFERROR(H106+(H106*($D$16/12)),""),"")</f>
        <v>20.9895920361497</v>
      </c>
      <c r="I107" s="223" t="n">
        <f aca="false">IF(ISERROR(A108),"",12 - MONTH(B107))</f>
        <v>8</v>
      </c>
      <c r="J107" s="224" t="n">
        <f aca="false">K107</f>
        <v>1</v>
      </c>
      <c r="K107" s="225" t="n">
        <f aca="false">_xlfn.IFNA(IF(B107&gt;=$K$11, 1,0),0)</f>
        <v>1</v>
      </c>
      <c r="L107" s="60" t="str">
        <f aca="false">IF(I107=0,1,"")</f>
        <v/>
      </c>
      <c r="P107" s="4" t="n">
        <f aca="false">IF(AND(G107&gt;E107, A107&lt;&gt;0, V107&lt;&gt;0), $N$5 * ($P$22 ^ V107 - 1), 0)</f>
        <v>0</v>
      </c>
      <c r="V107" s="71" t="n">
        <f aca="false">IF(B107&lt;EDATE($K$11,12), 0,  DATEDIF(EDATE($K$11,12), B107 + 1, "y") + 1 )</f>
        <v>2</v>
      </c>
    </row>
    <row r="108" customFormat="false" ht="12.75" hidden="false" customHeight="true" outlineLevel="0" collapsed="false">
      <c r="A108" s="228" t="n">
        <f aca="false">IF(OR(G107="",G107&lt;=0,C107&gt;150),NA(),A107+1)</f>
        <v>80</v>
      </c>
      <c r="B108" s="229" t="n">
        <f aca="false">IF(ISERROR(A108),"",IF($D$9="Annually",EDATE(B107,12),EDATE(B107,1)))</f>
        <v>48727</v>
      </c>
      <c r="C108" s="230" t="n">
        <f aca="false">IF(ISERROR(A108),"",C107+IF($D$9="Monthly",1/12,1))</f>
        <v>67.7166666666665</v>
      </c>
      <c r="D108" s="231" t="n">
        <f aca="false">IF(L107&lt;&gt;1, IF(G107&lt;E107,0,D107),IF(L107=1,IFERROR(ROUND(IF($G107 - (E107 * 6) &lt; 0, D107, ($G107 - (E107 * 6)) * $D$8 / 12),2),0) ) )</f>
        <v>20.81</v>
      </c>
      <c r="E108" s="231" t="n">
        <f aca="false">IF(ISERROR(A108), 0,  MAX(0,   MIN(    ROUND(G107 + D108, 2),    ROUND(FV($S$5, IF(type=1, A108, A107), , IF(J108&lt;&gt;1, -$D$20, -$P$16 + P108), 2), 0)   )  ) )</f>
        <v>21</v>
      </c>
      <c r="F108" s="231" t="n">
        <f aca="false">IF(J108&lt;&gt;1, "", IF(J107&lt;&gt;0, F107, $K$12))</f>
        <v>1</v>
      </c>
      <c r="G108" s="232" t="n">
        <f aca="false">IF(ISERROR(A108),"",ROUND(G107-E108+D108,2))</f>
        <v>5119.56</v>
      </c>
      <c r="H108" s="237" t="n">
        <f aca="false">IF(G108&gt;0,IFERROR(H107+(H107*($D$16/12)),""),"")</f>
        <v>21.0245746895433</v>
      </c>
      <c r="I108" s="223" t="n">
        <f aca="false">IF(ISERROR(A109),"",12 - MONTH(B108))</f>
        <v>7</v>
      </c>
      <c r="J108" s="224" t="n">
        <f aca="false">K108</f>
        <v>1</v>
      </c>
      <c r="K108" s="225" t="n">
        <f aca="false">_xlfn.IFNA(IF(B108&gt;=$K$11, 1,0),0)</f>
        <v>1</v>
      </c>
      <c r="L108" s="60" t="str">
        <f aca="false">IF(I108=0,1,"")</f>
        <v/>
      </c>
      <c r="P108" s="4" t="n">
        <f aca="false">IF(AND(G108&gt;E108, A108&lt;&gt;0, V108&lt;&gt;0), $N$5 * ($P$22 ^ V108 - 1), 0)</f>
        <v>0</v>
      </c>
      <c r="V108" s="71" t="n">
        <f aca="false">IF(B108&lt;EDATE($K$11,12), 0,  DATEDIF(EDATE($K$11,12), B108 + 1, "y") + 1 )</f>
        <v>2</v>
      </c>
    </row>
    <row r="109" customFormat="false" ht="12.75" hidden="false" customHeight="true" outlineLevel="0" collapsed="false">
      <c r="A109" s="228" t="n">
        <f aca="false">IF(OR(G108="",G108&lt;=0,C108&gt;150),NA(),A108+1)</f>
        <v>81</v>
      </c>
      <c r="B109" s="229" t="n">
        <f aca="false">IF(ISERROR(A109),"",IF($D$9="Annually",EDATE(B108,12),EDATE(B108,1)))</f>
        <v>48758</v>
      </c>
      <c r="C109" s="230" t="n">
        <f aca="false">IF(ISERROR(A109),"",C108+IF($D$9="Monthly",1/12,1))</f>
        <v>67.7999999999999</v>
      </c>
      <c r="D109" s="231" t="n">
        <f aca="false">IF(L108&lt;&gt;1, IF(G108&lt;E108,0,D108),IF(L108=1,IFERROR(ROUND(IF($G108 - (E108 * 6) &lt; 0, D108, ($G108 - (E108 * 6)) * $D$8 / 12),2),0) ) )</f>
        <v>20.81</v>
      </c>
      <c r="E109" s="231" t="n">
        <f aca="false">IF(ISERROR(A109), 0,  MAX(0,   MIN(    ROUND(G108 + D109, 2),    ROUND(FV($S$5, IF(type=1, A109, A108), , IF(J109&lt;&gt;1, -$D$20, -$P$16 + P109), 2), 0)   )  ) )</f>
        <v>21</v>
      </c>
      <c r="F109" s="231" t="n">
        <f aca="false">IF(J109&lt;&gt;1, "", IF(J108&lt;&gt;0, F108, $K$12))</f>
        <v>1</v>
      </c>
      <c r="G109" s="232" t="n">
        <f aca="false">IF(ISERROR(A109),"",ROUND(G108-E109+D109,2))</f>
        <v>5119.37</v>
      </c>
      <c r="H109" s="233" t="n">
        <f aca="false">IF(G109&gt;0,IFERROR(H108+(H108*($D$16/12)),""),"")</f>
        <v>21.0596156473592</v>
      </c>
      <c r="I109" s="223" t="n">
        <f aca="false">IF(ISERROR(A110),"",12 - MONTH(B109))</f>
        <v>6</v>
      </c>
      <c r="J109" s="224" t="n">
        <f aca="false">K109</f>
        <v>1</v>
      </c>
      <c r="K109" s="225" t="n">
        <f aca="false">_xlfn.IFNA(IF(B109&gt;=$K$11, 1,0),0)</f>
        <v>1</v>
      </c>
      <c r="L109" s="60" t="str">
        <f aca="false">IF(I109=0,1,"")</f>
        <v/>
      </c>
      <c r="P109" s="4" t="n">
        <f aca="false">IF(AND(G109&gt;E109, A109&lt;&gt;0, V109&lt;&gt;0), $N$5 * ($P$22 ^ V109 - 1), 0)</f>
        <v>0</v>
      </c>
      <c r="V109" s="71" t="n">
        <f aca="false">IF(B109&lt;EDATE($K$11,12), 0,  DATEDIF(EDATE($K$11,12), B109 + 1, "y") + 1 )</f>
        <v>2</v>
      </c>
    </row>
    <row r="110" customFormat="false" ht="12.75" hidden="false" customHeight="true" outlineLevel="0" collapsed="false">
      <c r="A110" s="228" t="n">
        <f aca="false">IF(OR(G109="",G109&lt;=0,C109&gt;150),NA(),A109+1)</f>
        <v>82</v>
      </c>
      <c r="B110" s="229" t="n">
        <f aca="false">IF(ISERROR(A110),"",IF($D$9="Annually",EDATE(B109,12),EDATE(B109,1)))</f>
        <v>48788</v>
      </c>
      <c r="C110" s="230" t="n">
        <f aca="false">IF(ISERROR(A110),"",C109+IF($D$9="Monthly",1/12,1))</f>
        <v>67.8833333333332</v>
      </c>
      <c r="D110" s="231" t="n">
        <f aca="false">IF(L109&lt;&gt;1, IF(G109&lt;E109,0,D109),IF(L109=1,IFERROR(ROUND(IF($G109 - (E109 * 6) &lt; 0, D109, ($G109 - (E109 * 6)) * $D$8 / 12),2),0) ) )</f>
        <v>20.81</v>
      </c>
      <c r="E110" s="231" t="n">
        <f aca="false">IF(ISERROR(A110), 0,  MAX(0,   MIN(    ROUND(G109 + D110, 2),    ROUND(FV($S$5, IF(type=1, A110, A109), , IF(J110&lt;&gt;1, -$D$20, -$P$16 + P110), 2), 0)   )  ) )</f>
        <v>21</v>
      </c>
      <c r="F110" s="231" t="n">
        <f aca="false">IF(J110&lt;&gt;1, "", IF(J109&lt;&gt;0, F109, $K$12))</f>
        <v>1</v>
      </c>
      <c r="G110" s="232" t="n">
        <f aca="false">IF(ISERROR(A110),"",ROUND(G109-E110+D110,2))</f>
        <v>5119.18</v>
      </c>
      <c r="H110" s="237" t="n">
        <f aca="false">IF(G110&gt;0,IFERROR(H109+(H109*($D$16/12)),""),"")</f>
        <v>21.0947150067714</v>
      </c>
      <c r="I110" s="223" t="n">
        <f aca="false">IF(ISERROR(A111),"",12 - MONTH(B110))</f>
        <v>5</v>
      </c>
      <c r="J110" s="224" t="n">
        <f aca="false">K110</f>
        <v>1</v>
      </c>
      <c r="K110" s="225" t="n">
        <f aca="false">_xlfn.IFNA(IF(B110&gt;=$K$11, 1,0),0)</f>
        <v>1</v>
      </c>
      <c r="L110" s="60" t="str">
        <f aca="false">IF(I110=0,1,"")</f>
        <v/>
      </c>
      <c r="P110" s="4" t="n">
        <f aca="false">IF(AND(G110&gt;E110, A110&lt;&gt;0, V110&lt;&gt;0), $N$5 * ($P$22 ^ V110 - 1), 0)</f>
        <v>0</v>
      </c>
      <c r="V110" s="71" t="n">
        <f aca="false">IF(B110&lt;EDATE($K$11,12), 0,  DATEDIF(EDATE($K$11,12), B110 + 1, "y") + 1 )</f>
        <v>2</v>
      </c>
    </row>
    <row r="111" customFormat="false" ht="12.75" hidden="false" customHeight="true" outlineLevel="0" collapsed="false">
      <c r="A111" s="228" t="n">
        <f aca="false">IF(OR(G110="",G110&lt;=0,C110&gt;150),NA(),A110+1)</f>
        <v>83</v>
      </c>
      <c r="B111" s="229" t="n">
        <f aca="false">IF(ISERROR(A111),"",IF($D$9="Annually",EDATE(B110,12),EDATE(B110,1)))</f>
        <v>48819</v>
      </c>
      <c r="C111" s="230" t="n">
        <f aca="false">IF(ISERROR(A111),"",C110+IF($D$9="Monthly",1/12,1))</f>
        <v>67.9666666666665</v>
      </c>
      <c r="D111" s="231" t="n">
        <f aca="false">IF(L110&lt;&gt;1, IF(G110&lt;E110,0,D110),IF(L110=1,IFERROR(ROUND(IF($G110 - (E110 * 6) &lt; 0, D110, ($G110 - (E110 * 6)) * $D$8 / 12),2),0) ) )</f>
        <v>20.81</v>
      </c>
      <c r="E111" s="231" t="n">
        <f aca="false">IF(ISERROR(A111), 0,  MAX(0,   MIN(    ROUND(G110 + D111, 2),    ROUND(FV($S$5, IF(type=1, A111, A110), , IF(J111&lt;&gt;1, -$D$20, -$P$16 + P111), 2), 0)   )  ) )</f>
        <v>22</v>
      </c>
      <c r="F111" s="231" t="n">
        <f aca="false">IF(J111&lt;&gt;1, "", IF(J110&lt;&gt;0, F110, $K$12))</f>
        <v>1</v>
      </c>
      <c r="G111" s="232" t="n">
        <f aca="false">IF(ISERROR(A111),"",ROUND(G110-E111+D111,2))</f>
        <v>5117.99</v>
      </c>
      <c r="H111" s="233" t="n">
        <f aca="false">IF(G111&gt;0,IFERROR(H110+(H110*($D$16/12)),""),"")</f>
        <v>21.1298728651161</v>
      </c>
      <c r="I111" s="223" t="n">
        <f aca="false">IF(ISERROR(A112),"",12 - MONTH(B111))</f>
        <v>4</v>
      </c>
      <c r="J111" s="224" t="n">
        <f aca="false">K111</f>
        <v>1</v>
      </c>
      <c r="K111" s="225" t="n">
        <f aca="false">_xlfn.IFNA(IF(B111&gt;=$K$11, 1,0),0)</f>
        <v>1</v>
      </c>
      <c r="L111" s="60" t="str">
        <f aca="false">IF(I111=0,1,"")</f>
        <v/>
      </c>
      <c r="P111" s="4" t="n">
        <f aca="false">IF(AND(G111&gt;E111, A111&lt;&gt;0, V111&lt;&gt;0), $N$5 * ($P$22 ^ V111 - 1), 0)</f>
        <v>0</v>
      </c>
      <c r="V111" s="71" t="n">
        <f aca="false">IF(B111&lt;EDATE($K$11,12), 0,  DATEDIF(EDATE($K$11,12), B111 + 1, "y") + 1 )</f>
        <v>2</v>
      </c>
    </row>
    <row r="112" customFormat="false" ht="12.75" hidden="false" customHeight="true" outlineLevel="0" collapsed="false">
      <c r="A112" s="228" t="n">
        <f aca="false">IF(OR(G111="",G111&lt;=0,C111&gt;150),NA(),A111+1)</f>
        <v>84</v>
      </c>
      <c r="B112" s="229" t="n">
        <f aca="false">IF(ISERROR(A112),"",IF($D$9="Annually",EDATE(B111,12),EDATE(B111,1)))</f>
        <v>48850</v>
      </c>
      <c r="C112" s="230" t="n">
        <f aca="false">IF(ISERROR(A112),"",C111+IF($D$9="Monthly",1/12,1))</f>
        <v>68.0499999999999</v>
      </c>
      <c r="D112" s="231" t="n">
        <f aca="false">IF(L111&lt;&gt;1, IF(G111&lt;E111,0,D111),IF(L111=1,IFERROR(ROUND(IF($G111 - (E111 * 6) &lt; 0, D111, ($G111 - (E111 * 6)) * $D$8 / 12),2),0) ) )</f>
        <v>20.81</v>
      </c>
      <c r="E112" s="231" t="n">
        <f aca="false">IF(ISERROR(A112), 0,  MAX(0,   MIN(    ROUND(G111 + D112, 2),    ROUND(FV($S$5, IF(type=1, A112, A111), , IF(J112&lt;&gt;1, -$D$20, -$P$16 + P112), 2), 0)   )  ) )</f>
        <v>22</v>
      </c>
      <c r="F112" s="231" t="n">
        <f aca="false">IF(J112&lt;&gt;1, "", IF(J111&lt;&gt;0, F111, $K$12))</f>
        <v>1</v>
      </c>
      <c r="G112" s="232" t="n">
        <f aca="false">IF(ISERROR(A112),"",ROUND(G111-E112+D112,2))</f>
        <v>5116.8</v>
      </c>
      <c r="H112" s="237" t="n">
        <f aca="false">IF(G112&gt;0,IFERROR(H111+(H111*($D$16/12)),""),"")</f>
        <v>21.1650893198912</v>
      </c>
      <c r="I112" s="223" t="n">
        <f aca="false">IF(ISERROR(A113),"",12 - MONTH(B112))</f>
        <v>3</v>
      </c>
      <c r="J112" s="224" t="n">
        <f aca="false">K112</f>
        <v>1</v>
      </c>
      <c r="K112" s="225" t="n">
        <f aca="false">_xlfn.IFNA(IF(B112&gt;=$K$11, 1,0),0)</f>
        <v>1</v>
      </c>
      <c r="L112" s="60" t="str">
        <f aca="false">IF(I112=0,1,"")</f>
        <v/>
      </c>
      <c r="P112" s="4" t="n">
        <f aca="false">IF(AND(G112&gt;E112, A112&lt;&gt;0, V112&lt;&gt;0), $N$5 * ($P$22 ^ V112 - 1), 0)</f>
        <v>0</v>
      </c>
      <c r="V112" s="71" t="n">
        <f aca="false">IF(B112&lt;EDATE($K$11,12), 0,  DATEDIF(EDATE($K$11,12), B112 + 1, "y") + 1 )</f>
        <v>2</v>
      </c>
    </row>
    <row r="113" customFormat="false" ht="12.75" hidden="false" customHeight="true" outlineLevel="0" collapsed="false">
      <c r="A113" s="228" t="n">
        <f aca="false">IF(OR(G112="",G112&lt;=0,C112&gt;150),NA(),A112+1)</f>
        <v>85</v>
      </c>
      <c r="B113" s="229" t="n">
        <f aca="false">IF(ISERROR(A113),"",IF($D$9="Annually",EDATE(B112,12),EDATE(B112,1)))</f>
        <v>48880</v>
      </c>
      <c r="C113" s="230" t="n">
        <f aca="false">IF(ISERROR(A113),"",C112+IF($D$9="Monthly",1/12,1))</f>
        <v>68.1333333333332</v>
      </c>
      <c r="D113" s="231" t="n">
        <f aca="false">IF(L112&lt;&gt;1, IF(G112&lt;E112,0,D112),IF(L112=1,IFERROR(ROUND(IF($G112 - (E112 * 6) &lt; 0, D112, ($G112 - (E112 * 6)) * $D$8 / 12),2),0) ) )</f>
        <v>20.81</v>
      </c>
      <c r="E113" s="231" t="n">
        <f aca="false">IF(ISERROR(A113), 0,  MAX(0,   MIN(    ROUND(G112 + D113, 2),    ROUND(FV($S$5, IF(type=1, A113, A112), , IF(J113&lt;&gt;1, -$D$20, -$P$16 + P113), 2), 0)   )  ) )</f>
        <v>22</v>
      </c>
      <c r="F113" s="231" t="n">
        <f aca="false">IF(J113&lt;&gt;1, "", IF(J112&lt;&gt;0, F112, $K$12))</f>
        <v>1</v>
      </c>
      <c r="G113" s="232" t="n">
        <f aca="false">IF(ISERROR(A113),"",ROUND(G112-E113+D113,2))</f>
        <v>5115.61</v>
      </c>
      <c r="H113" s="233" t="n">
        <f aca="false">IF(G113&gt;0,IFERROR(H112+(H112*($D$16/12)),""),"")</f>
        <v>21.2003644687577</v>
      </c>
      <c r="I113" s="223" t="n">
        <f aca="false">IF(ISERROR(A114),"",12 - MONTH(B113))</f>
        <v>2</v>
      </c>
      <c r="J113" s="224" t="n">
        <f aca="false">K113</f>
        <v>1</v>
      </c>
      <c r="K113" s="225" t="n">
        <f aca="false">_xlfn.IFNA(IF(B113&gt;=$K$11, 1,0),0)</f>
        <v>1</v>
      </c>
      <c r="L113" s="60" t="str">
        <f aca="false">IF(I113=0,1,"")</f>
        <v/>
      </c>
      <c r="P113" s="4" t="n">
        <f aca="false">IF(AND(G113&gt;E113, A113&lt;&gt;0, V113&lt;&gt;0), $N$5 * ($P$22 ^ V113 - 1), 0)</f>
        <v>0</v>
      </c>
      <c r="V113" s="71" t="n">
        <f aca="false">IF(B113&lt;EDATE($K$11,12), 0,  DATEDIF(EDATE($K$11,12), B113 + 1, "y") + 1 )</f>
        <v>2</v>
      </c>
    </row>
    <row r="114" customFormat="false" ht="12.75" hidden="false" customHeight="true" outlineLevel="0" collapsed="false">
      <c r="A114" s="228" t="n">
        <f aca="false">IF(OR(G113="",G113&lt;=0,C113&gt;150),NA(),A113+1)</f>
        <v>86</v>
      </c>
      <c r="B114" s="229" t="n">
        <f aca="false">IF(ISERROR(A114),"",IF($D$9="Annually",EDATE(B113,12),EDATE(B113,1)))</f>
        <v>48911</v>
      </c>
      <c r="C114" s="230" t="n">
        <f aca="false">IF(ISERROR(A114),"",C113+IF($D$9="Monthly",1/12,1))</f>
        <v>68.2166666666665</v>
      </c>
      <c r="D114" s="231" t="n">
        <f aca="false">IF(L113&lt;&gt;1, IF(G113&lt;E113,0,D113),IF(L113=1,IFERROR(ROUND(IF($G113 - (E113 * 6) &lt; 0, D113, ($G113 - (E113 * 6)) * $D$8 / 12),2),0) ) )</f>
        <v>20.81</v>
      </c>
      <c r="E114" s="231" t="n">
        <f aca="false">IF(ISERROR(A114), 0,  MAX(0,   MIN(    ROUND(G113 + D114, 2),    ROUND(FV($S$5, IF(type=1, A114, A113), , IF(J114&lt;&gt;1, -$D$20, -$P$16 + P114), 2), 0)   )  ) )</f>
        <v>22</v>
      </c>
      <c r="F114" s="231" t="n">
        <f aca="false">IF(J114&lt;&gt;1, "", IF(J113&lt;&gt;0, F113, $K$12))</f>
        <v>1</v>
      </c>
      <c r="G114" s="232" t="n">
        <f aca="false">IF(ISERROR(A114),"",ROUND(G113-E114+D114,2))</f>
        <v>5114.42</v>
      </c>
      <c r="H114" s="237" t="n">
        <f aca="false">IF(G114&gt;0,IFERROR(H113+(H113*($D$16/12)),""),"")</f>
        <v>21.235698409539</v>
      </c>
      <c r="I114" s="223" t="n">
        <f aca="false">IF(ISERROR(A115),"",12 - MONTH(B114))</f>
        <v>1</v>
      </c>
      <c r="J114" s="224" t="n">
        <f aca="false">K114</f>
        <v>1</v>
      </c>
      <c r="K114" s="225" t="n">
        <f aca="false">_xlfn.IFNA(IF(B114&gt;=$K$11, 1,0),0)</f>
        <v>1</v>
      </c>
      <c r="L114" s="60" t="str">
        <f aca="false">IF(I114=0,1,"")</f>
        <v/>
      </c>
      <c r="P114" s="4" t="n">
        <f aca="false">IF(AND(G114&gt;E114, A114&lt;&gt;0, V114&lt;&gt;0), $N$5 * ($P$22 ^ V114 - 1), 0)</f>
        <v>0</v>
      </c>
      <c r="V114" s="71" t="n">
        <f aca="false">IF(B114&lt;EDATE($K$11,12), 0,  DATEDIF(EDATE($K$11,12), B114 + 1, "y") + 1 )</f>
        <v>2</v>
      </c>
    </row>
    <row r="115" customFormat="false" ht="12.75" hidden="false" customHeight="true" outlineLevel="0" collapsed="false">
      <c r="A115" s="228" t="n">
        <f aca="false">IF(OR(G114="",G114&lt;=0,C114&gt;150),NA(),A114+1)</f>
        <v>87</v>
      </c>
      <c r="B115" s="229" t="n">
        <f aca="false">IF(ISERROR(A115),"",IF($D$9="Annually",EDATE(B114,12),EDATE(B114,1)))</f>
        <v>48941</v>
      </c>
      <c r="C115" s="230" t="n">
        <f aca="false">IF(ISERROR(A115),"",C114+IF($D$9="Monthly",1/12,1))</f>
        <v>68.2999999999998</v>
      </c>
      <c r="D115" s="231" t="n">
        <f aca="false">IF(L114&lt;&gt;1, IF(G114&lt;E114,0,D114),IF(L114=1,IFERROR(ROUND(IF($G114 - (E114 * 6) &lt; 0, D114, ($G114 - (E114 * 6)) * $D$8 / 12),2),0) ) )</f>
        <v>20.81</v>
      </c>
      <c r="E115" s="231" t="n">
        <f aca="false">IF(ISERROR(A115), 0,  MAX(0,   MIN(    ROUND(G114 + D115, 2),    ROUND(FV($S$5, IF(type=1, A115, A114), , IF(J115&lt;&gt;1, -$D$20, -$P$16 + P115), 2), 0)   )  ) )</f>
        <v>22</v>
      </c>
      <c r="F115" s="231" t="n">
        <f aca="false">IF(J115&lt;&gt;1, "", IF(J114&lt;&gt;0, F114, $K$12))</f>
        <v>1</v>
      </c>
      <c r="G115" s="232" t="n">
        <f aca="false">IF(ISERROR(A115),"",ROUND(G114-E115+D115,2))</f>
        <v>5113.23</v>
      </c>
      <c r="H115" s="233" t="n">
        <f aca="false">IF(G115&gt;0,IFERROR(H114+(H114*($D$16/12)),""),"")</f>
        <v>21.2710912402216</v>
      </c>
      <c r="I115" s="223" t="n">
        <f aca="false">IF(ISERROR(A116),"",12 - MONTH(B115))</f>
        <v>0</v>
      </c>
      <c r="J115" s="224" t="n">
        <f aca="false">K115</f>
        <v>1</v>
      </c>
      <c r="K115" s="225" t="n">
        <f aca="false">_xlfn.IFNA(IF(B115&gt;=$K$11, 1,0),0)</f>
        <v>1</v>
      </c>
      <c r="L115" s="60" t="n">
        <f aca="false">IF(I115=0,1,"")</f>
        <v>1</v>
      </c>
      <c r="P115" s="4" t="n">
        <f aca="false">IF(AND(G115&gt;E115, A115&lt;&gt;0, V115&lt;&gt;0), $N$5 * ($P$22 ^ V115 - 1), 0)</f>
        <v>0</v>
      </c>
      <c r="V115" s="71" t="n">
        <f aca="false">IF(B115&lt;EDATE($K$11,12), 0,  DATEDIF(EDATE($K$11,12), B115 + 1, "y") + 1 )</f>
        <v>2</v>
      </c>
    </row>
    <row r="116" customFormat="false" ht="12.75" hidden="false" customHeight="true" outlineLevel="0" collapsed="false">
      <c r="A116" s="228" t="n">
        <f aca="false">IF(OR(G115="",G115&lt;=0,C115&gt;150),NA(),A115+1)</f>
        <v>88</v>
      </c>
      <c r="B116" s="229" t="n">
        <f aca="false">IF(ISERROR(A116),"",IF($D$9="Annually",EDATE(B115,12),EDATE(B115,1)))</f>
        <v>48972</v>
      </c>
      <c r="C116" s="230" t="n">
        <f aca="false">IF(ISERROR(A116),"",C115+IF($D$9="Monthly",1/12,1))</f>
        <v>68.3833333333332</v>
      </c>
      <c r="D116" s="231" t="n">
        <f aca="false">IF(L115&lt;&gt;1, IF(G115&lt;E115,0,D115),IF(L115=1,IFERROR(ROUND(IF($G115 - (E115 * 6) &lt; 0, D115, ($G115 - (E115 * 6)) * $D$8 / 12),2),0) ) )</f>
        <v>20.76</v>
      </c>
      <c r="E116" s="231" t="n">
        <f aca="false">IF(ISERROR(A116), 0,  MAX(0,   MIN(    ROUND(G115 + D116, 2),    ROUND(FV($S$5, IF(type=1, A116, A115), , IF(J116&lt;&gt;1, -$D$20, -$P$16 + P116), 2), 0)   )  ) )</f>
        <v>22</v>
      </c>
      <c r="F116" s="231" t="n">
        <f aca="false">IF(J116&lt;&gt;1, "", IF(J115&lt;&gt;0, F115, $K$12))</f>
        <v>1</v>
      </c>
      <c r="G116" s="232" t="n">
        <f aca="false">IF(ISERROR(A116),"",ROUND(G115-E116+D116,2))</f>
        <v>5111.99</v>
      </c>
      <c r="H116" s="237" t="n">
        <f aca="false">IF(G116&gt;0,IFERROR(H115+(H115*($D$16/12)),""),"")</f>
        <v>21.3065430589553</v>
      </c>
      <c r="I116" s="223" t="n">
        <f aca="false">IF(ISERROR(A117),"",12 - MONTH(B116))</f>
        <v>11</v>
      </c>
      <c r="J116" s="224" t="n">
        <f aca="false">K116</f>
        <v>1</v>
      </c>
      <c r="K116" s="225" t="n">
        <f aca="false">_xlfn.IFNA(IF(B116&gt;=$K$11, 1,0),0)</f>
        <v>1</v>
      </c>
      <c r="L116" s="60" t="str">
        <f aca="false">IF(I116=0,1,"")</f>
        <v/>
      </c>
      <c r="P116" s="4" t="n">
        <f aca="false">IF(AND(G116&gt;E116, A116&lt;&gt;0, V116&lt;&gt;0), $N$5 * ($P$22 ^ V116 - 1), 0)</f>
        <v>0</v>
      </c>
      <c r="V116" s="71" t="n">
        <f aca="false">IF(B116&lt;EDATE($K$11,12), 0,  DATEDIF(EDATE($K$11,12), B116 + 1, "y") + 1 )</f>
        <v>3</v>
      </c>
    </row>
    <row r="117" customFormat="false" ht="12.75" hidden="false" customHeight="true" outlineLevel="0" collapsed="false">
      <c r="A117" s="228" t="n">
        <f aca="false">IF(OR(G116="",G116&lt;=0,C116&gt;150),NA(),A116+1)</f>
        <v>89</v>
      </c>
      <c r="B117" s="229" t="n">
        <f aca="false">IF(ISERROR(A117),"",IF($D$9="Annually",EDATE(B116,12),EDATE(B116,1)))</f>
        <v>49003</v>
      </c>
      <c r="C117" s="230" t="n">
        <f aca="false">IF(ISERROR(A117),"",C116+IF($D$9="Monthly",1/12,1))</f>
        <v>68.4666666666665</v>
      </c>
      <c r="D117" s="231" t="n">
        <f aca="false">IF(L116&lt;&gt;1, IF(G116&lt;E116,0,D116),IF(L116=1,IFERROR(ROUND(IF($G116 - (E116 * 6) &lt; 0, D116, ($G116 - (E116 * 6)) * $D$8 / 12),2),0) ) )</f>
        <v>20.76</v>
      </c>
      <c r="E117" s="231" t="n">
        <f aca="false">IF(ISERROR(A117), 0,  MAX(0,   MIN(    ROUND(G116 + D117, 2),    ROUND(FV($S$5, IF(type=1, A117, A116), , IF(J117&lt;&gt;1, -$D$20, -$P$16 + P117), 2), 0)   )  ) )</f>
        <v>22</v>
      </c>
      <c r="F117" s="231" t="n">
        <f aca="false">IF(J117&lt;&gt;1, "", IF(J116&lt;&gt;0, F116, $K$12))</f>
        <v>1</v>
      </c>
      <c r="G117" s="232" t="n">
        <f aca="false">IF(ISERROR(A117),"",ROUND(G116-E117+D117,2))</f>
        <v>5110.75</v>
      </c>
      <c r="H117" s="233" t="n">
        <f aca="false">IF(G117&gt;0,IFERROR(H116+(H116*($D$16/12)),""),"")</f>
        <v>21.3420539640535</v>
      </c>
      <c r="I117" s="223" t="n">
        <f aca="false">IF(ISERROR(A118),"",12 - MONTH(B117))</f>
        <v>10</v>
      </c>
      <c r="J117" s="224" t="n">
        <f aca="false">K117</f>
        <v>1</v>
      </c>
      <c r="K117" s="225" t="n">
        <f aca="false">_xlfn.IFNA(IF(B117&gt;=$K$11, 1,0),0)</f>
        <v>1</v>
      </c>
      <c r="L117" s="60" t="str">
        <f aca="false">IF(I117=0,1,"")</f>
        <v/>
      </c>
      <c r="P117" s="4" t="n">
        <f aca="false">IF(AND(G117&gt;E117, A117&lt;&gt;0, V117&lt;&gt;0), $N$5 * ($P$22 ^ V117 - 1), 0)</f>
        <v>0</v>
      </c>
      <c r="V117" s="71" t="n">
        <f aca="false">IF(B117&lt;EDATE($K$11,12), 0,  DATEDIF(EDATE($K$11,12), B117 + 1, "y") + 1 )</f>
        <v>3</v>
      </c>
    </row>
    <row r="118" customFormat="false" ht="12.75" hidden="false" customHeight="true" outlineLevel="0" collapsed="false">
      <c r="A118" s="228" t="n">
        <f aca="false">IF(OR(G117="",G117&lt;=0,C117&gt;150),NA(),A117+1)</f>
        <v>90</v>
      </c>
      <c r="B118" s="229" t="n">
        <f aca="false">IF(ISERROR(A118),"",IF($D$9="Annually",EDATE(B117,12),EDATE(B117,1)))</f>
        <v>49031</v>
      </c>
      <c r="C118" s="230" t="n">
        <f aca="false">IF(ISERROR(A118),"",C117+IF($D$9="Monthly",1/12,1))</f>
        <v>68.5499999999998</v>
      </c>
      <c r="D118" s="231" t="n">
        <f aca="false">IF(L117&lt;&gt;1, IF(G117&lt;E117,0,D117),IF(L117=1,IFERROR(ROUND(IF($G117 - (E117 * 6) &lt; 0, D117, ($G117 - (E117 * 6)) * $D$8 / 12),2),0) ) )</f>
        <v>20.76</v>
      </c>
      <c r="E118" s="231" t="n">
        <f aca="false">IF(ISERROR(A118), 0,  MAX(0,   MIN(    ROUND(G117 + D118, 2),    ROUND(FV($S$5, IF(type=1, A118, A117), , IF(J118&lt;&gt;1, -$D$20, -$P$16 + P118), 2), 0)   )  ) )</f>
        <v>22</v>
      </c>
      <c r="F118" s="231" t="n">
        <f aca="false">IF(J118&lt;&gt;1, "", IF(J117&lt;&gt;0, F117, $K$12))</f>
        <v>1</v>
      </c>
      <c r="G118" s="232" t="n">
        <f aca="false">IF(ISERROR(A118),"",ROUND(G117-E118+D118,2))</f>
        <v>5109.51</v>
      </c>
      <c r="H118" s="237" t="n">
        <f aca="false">IF(G118&gt;0,IFERROR(H117+(H117*($D$16/12)),""),"")</f>
        <v>21.3776240539936</v>
      </c>
      <c r="I118" s="223" t="n">
        <f aca="false">IF(ISERROR(A119),"",12 - MONTH(B118))</f>
        <v>9</v>
      </c>
      <c r="J118" s="224" t="n">
        <f aca="false">K118</f>
        <v>1</v>
      </c>
      <c r="K118" s="225" t="n">
        <f aca="false">_xlfn.IFNA(IF(B118&gt;=$K$11, 1,0),0)</f>
        <v>1</v>
      </c>
      <c r="L118" s="60" t="str">
        <f aca="false">IF(I118=0,1,"")</f>
        <v/>
      </c>
      <c r="P118" s="4" t="n">
        <f aca="false">IF(AND(G118&gt;E118, A118&lt;&gt;0, V118&lt;&gt;0), $N$5 * ($P$22 ^ V118 - 1), 0)</f>
        <v>0</v>
      </c>
      <c r="V118" s="71" t="n">
        <f aca="false">IF(B118&lt;EDATE($K$11,12), 0,  DATEDIF(EDATE($K$11,12), B118 + 1, "y") + 1 )</f>
        <v>3</v>
      </c>
    </row>
    <row r="119" customFormat="false" ht="12.75" hidden="false" customHeight="true" outlineLevel="0" collapsed="false">
      <c r="A119" s="228" t="n">
        <f aca="false">IF(OR(G118="",G118&lt;=0,C118&gt;150),NA(),A118+1)</f>
        <v>91</v>
      </c>
      <c r="B119" s="229" t="n">
        <f aca="false">IF(ISERROR(A119),"",IF($D$9="Annually",EDATE(B118,12),EDATE(B118,1)))</f>
        <v>49062</v>
      </c>
      <c r="C119" s="230" t="n">
        <f aca="false">IF(ISERROR(A119),"",C118+IF($D$9="Monthly",1/12,1))</f>
        <v>68.6333333333332</v>
      </c>
      <c r="D119" s="231" t="n">
        <f aca="false">IF(L118&lt;&gt;1, IF(G118&lt;E118,0,D118),IF(L118=1,IFERROR(ROUND(IF($G118 - (E118 * 6) &lt; 0, D118, ($G118 - (E118 * 6)) * $D$8 / 12),2),0) ) )</f>
        <v>20.76</v>
      </c>
      <c r="E119" s="231" t="n">
        <f aca="false">IF(ISERROR(A119), 0,  MAX(0,   MIN(    ROUND(G118 + D119, 2),    ROUND(FV($S$5, IF(type=1, A119, A118), , IF(J119&lt;&gt;1, -$D$20, -$P$16 + P119), 2), 0)   )  ) )</f>
        <v>22</v>
      </c>
      <c r="F119" s="231" t="n">
        <f aca="false">IF(J119&lt;&gt;1, "", IF(J118&lt;&gt;0, F118, $K$12))</f>
        <v>1</v>
      </c>
      <c r="G119" s="232" t="n">
        <f aca="false">IF(ISERROR(A119),"",ROUND(G118-E119+D119,2))</f>
        <v>5108.27</v>
      </c>
      <c r="H119" s="233" t="n">
        <f aca="false">IF(G119&gt;0,IFERROR(H118+(H118*($D$16/12)),""),"")</f>
        <v>21.4132534274169</v>
      </c>
      <c r="I119" s="223" t="n">
        <f aca="false">IF(ISERROR(A120),"",12 - MONTH(B119))</f>
        <v>8</v>
      </c>
      <c r="J119" s="224" t="n">
        <f aca="false">K119</f>
        <v>1</v>
      </c>
      <c r="K119" s="225" t="n">
        <f aca="false">_xlfn.IFNA(IF(B119&gt;=$K$11, 1,0),0)</f>
        <v>1</v>
      </c>
      <c r="L119" s="60" t="str">
        <f aca="false">IF(I119=0,1,"")</f>
        <v/>
      </c>
      <c r="P119" s="4" t="n">
        <f aca="false">IF(AND(G119&gt;E119, A119&lt;&gt;0, V119&lt;&gt;0), $N$5 * ($P$22 ^ V119 - 1), 0)</f>
        <v>0</v>
      </c>
      <c r="V119" s="71" t="n">
        <f aca="false">IF(B119&lt;EDATE($K$11,12), 0,  DATEDIF(EDATE($K$11,12), B119 + 1, "y") + 1 )</f>
        <v>3</v>
      </c>
    </row>
    <row r="120" customFormat="false" ht="12.75" hidden="false" customHeight="true" outlineLevel="0" collapsed="false">
      <c r="A120" s="228" t="n">
        <f aca="false">IF(OR(G119="",G119&lt;=0,C119&gt;150),NA(),A119+1)</f>
        <v>92</v>
      </c>
      <c r="B120" s="229" t="n">
        <f aca="false">IF(ISERROR(A120),"",IF($D$9="Annually",EDATE(B119,12),EDATE(B119,1)))</f>
        <v>49092</v>
      </c>
      <c r="C120" s="230" t="n">
        <f aca="false">IF(ISERROR(A120),"",C119+IF($D$9="Monthly",1/12,1))</f>
        <v>68.7166666666665</v>
      </c>
      <c r="D120" s="231" t="n">
        <f aca="false">IF(L119&lt;&gt;1, IF(G119&lt;E119,0,D119),IF(L119=1,IFERROR(ROUND(IF($G119 - (E119 * 6) &lt; 0, D119, ($G119 - (E119 * 6)) * $D$8 / 12),2),0) ) )</f>
        <v>20.76</v>
      </c>
      <c r="E120" s="231" t="n">
        <f aca="false">IF(ISERROR(A120), 0,  MAX(0,   MIN(    ROUND(G119 + D120, 2),    ROUND(FV($S$5, IF(type=1, A120, A119), , IF(J120&lt;&gt;1, -$D$20, -$P$16 + P120), 2), 0)   )  ) )</f>
        <v>22</v>
      </c>
      <c r="F120" s="231" t="n">
        <f aca="false">IF(J120&lt;&gt;1, "", IF(J119&lt;&gt;0, F119, $K$12))</f>
        <v>1</v>
      </c>
      <c r="G120" s="232" t="n">
        <f aca="false">IF(ISERROR(A120),"",ROUND(G119-E120+D120,2))</f>
        <v>5107.03</v>
      </c>
      <c r="H120" s="237" t="n">
        <f aca="false">IF(G120&gt;0,IFERROR(H119+(H119*($D$16/12)),""),"")</f>
        <v>21.4489421831293</v>
      </c>
      <c r="I120" s="223" t="n">
        <f aca="false">IF(ISERROR(A121),"",12 - MONTH(B120))</f>
        <v>7</v>
      </c>
      <c r="J120" s="224" t="n">
        <f aca="false">K120</f>
        <v>1</v>
      </c>
      <c r="K120" s="225" t="n">
        <f aca="false">_xlfn.IFNA(IF(B120&gt;=$K$11, 1,0),0)</f>
        <v>1</v>
      </c>
      <c r="L120" s="60" t="str">
        <f aca="false">IF(I120=0,1,"")</f>
        <v/>
      </c>
      <c r="P120" s="4" t="n">
        <f aca="false">IF(AND(G120&gt;E120, A120&lt;&gt;0, V120&lt;&gt;0), $N$5 * ($P$22 ^ V120 - 1), 0)</f>
        <v>0</v>
      </c>
      <c r="V120" s="71" t="n">
        <f aca="false">IF(B120&lt;EDATE($K$11,12), 0,  DATEDIF(EDATE($K$11,12), B120 + 1, "y") + 1 )</f>
        <v>3</v>
      </c>
    </row>
    <row r="121" customFormat="false" ht="12.75" hidden="false" customHeight="true" outlineLevel="0" collapsed="false">
      <c r="A121" s="228" t="n">
        <f aca="false">IF(OR(G120="",G120&lt;=0,C120&gt;150),NA(),A120+1)</f>
        <v>93</v>
      </c>
      <c r="B121" s="229" t="n">
        <f aca="false">IF(ISERROR(A121),"",IF($D$9="Annually",EDATE(B120,12),EDATE(B120,1)))</f>
        <v>49123</v>
      </c>
      <c r="C121" s="230" t="n">
        <f aca="false">IF(ISERROR(A121),"",C120+IF($D$9="Monthly",1/12,1))</f>
        <v>68.7999999999998</v>
      </c>
      <c r="D121" s="231" t="n">
        <f aca="false">IF(L120&lt;&gt;1, IF(G120&lt;E120,0,D120),IF(L120=1,IFERROR(ROUND(IF($G120 - (E120 * 6) &lt; 0, D120, ($G120 - (E120 * 6)) * $D$8 / 12),2),0) ) )</f>
        <v>20.76</v>
      </c>
      <c r="E121" s="231" t="n">
        <f aca="false">IF(ISERROR(A121), 0,  MAX(0,   MIN(    ROUND(G120 + D121, 2),    ROUND(FV($S$5, IF(type=1, A121, A120), , IF(J121&lt;&gt;1, -$D$20, -$P$16 + P121), 2), 0)   )  ) )</f>
        <v>22</v>
      </c>
      <c r="F121" s="231" t="n">
        <f aca="false">IF(J121&lt;&gt;1, "", IF(J120&lt;&gt;0, F120, $K$12))</f>
        <v>1</v>
      </c>
      <c r="G121" s="232" t="n">
        <f aca="false">IF(ISERROR(A121),"",ROUND(G120-E121+D121,2))</f>
        <v>5105.79</v>
      </c>
      <c r="H121" s="233" t="n">
        <f aca="false">IF(G121&gt;0,IFERROR(H120+(H120*($D$16/12)),""),"")</f>
        <v>21.4846904201012</v>
      </c>
      <c r="I121" s="223" t="n">
        <f aca="false">IF(ISERROR(A122),"",12 - MONTH(B121))</f>
        <v>6</v>
      </c>
      <c r="J121" s="224" t="n">
        <f aca="false">K121</f>
        <v>1</v>
      </c>
      <c r="K121" s="225" t="n">
        <f aca="false">_xlfn.IFNA(IF(B121&gt;=$K$11, 1,0),0)</f>
        <v>1</v>
      </c>
      <c r="L121" s="60" t="str">
        <f aca="false">IF(I121=0,1,"")</f>
        <v/>
      </c>
      <c r="P121" s="4" t="n">
        <f aca="false">IF(AND(G121&gt;E121, A121&lt;&gt;0, V121&lt;&gt;0), $N$5 * ($P$22 ^ V121 - 1), 0)</f>
        <v>0</v>
      </c>
      <c r="V121" s="71" t="n">
        <f aca="false">IF(B121&lt;EDATE($K$11,12), 0,  DATEDIF(EDATE($K$11,12), B121 + 1, "y") + 1 )</f>
        <v>3</v>
      </c>
    </row>
    <row r="122" customFormat="false" ht="12.75" hidden="false" customHeight="true" outlineLevel="0" collapsed="false">
      <c r="A122" s="228" t="n">
        <f aca="false">IF(OR(G121="",G121&lt;=0,C121&gt;150),NA(),A121+1)</f>
        <v>94</v>
      </c>
      <c r="B122" s="229" t="n">
        <f aca="false">IF(ISERROR(A122),"",IF($D$9="Annually",EDATE(B121,12),EDATE(B121,1)))</f>
        <v>49153</v>
      </c>
      <c r="C122" s="230" t="n">
        <f aca="false">IF(ISERROR(A122),"",C121+IF($D$9="Monthly",1/12,1))</f>
        <v>68.8833333333331</v>
      </c>
      <c r="D122" s="231" t="n">
        <f aca="false">IF(L121&lt;&gt;1, IF(G121&lt;E121,0,D121),IF(L121=1,IFERROR(ROUND(IF($G121 - (E121 * 6) &lt; 0, D121, ($G121 - (E121 * 6)) * $D$8 / 12),2),0) ) )</f>
        <v>20.76</v>
      </c>
      <c r="E122" s="231" t="n">
        <f aca="false">IF(ISERROR(A122), 0,  MAX(0,   MIN(    ROUND(G121 + D122, 2),    ROUND(FV($S$5, IF(type=1, A122, A121), , IF(J122&lt;&gt;1, -$D$20, -$P$16 + P122), 2), 0)   )  ) )</f>
        <v>22</v>
      </c>
      <c r="F122" s="231" t="n">
        <f aca="false">IF(J122&lt;&gt;1, "", IF(J121&lt;&gt;0, F121, $K$12))</f>
        <v>1</v>
      </c>
      <c r="G122" s="232" t="n">
        <f aca="false">IF(ISERROR(A122),"",ROUND(G121-E122+D122,2))</f>
        <v>5104.55</v>
      </c>
      <c r="H122" s="237" t="n">
        <f aca="false">IF(G122&gt;0,IFERROR(H121+(H121*($D$16/12)),""),"")</f>
        <v>21.520498237468</v>
      </c>
      <c r="I122" s="223" t="n">
        <f aca="false">IF(ISERROR(A123),"",12 - MONTH(B122))</f>
        <v>5</v>
      </c>
      <c r="J122" s="224" t="n">
        <f aca="false">K122</f>
        <v>1</v>
      </c>
      <c r="K122" s="225" t="n">
        <f aca="false">_xlfn.IFNA(IF(B122&gt;=$K$11, 1,0),0)</f>
        <v>1</v>
      </c>
      <c r="L122" s="60" t="str">
        <f aca="false">IF(I122=0,1,"")</f>
        <v/>
      </c>
      <c r="P122" s="4" t="n">
        <f aca="false">IF(AND(G122&gt;E122, A122&lt;&gt;0, V122&lt;&gt;0), $N$5 * ($P$22 ^ V122 - 1), 0)</f>
        <v>0</v>
      </c>
      <c r="V122" s="71" t="n">
        <f aca="false">IF(B122&lt;EDATE($K$11,12), 0,  DATEDIF(EDATE($K$11,12), B122 + 1, "y") + 1 )</f>
        <v>3</v>
      </c>
    </row>
    <row r="123" customFormat="false" ht="12.75" hidden="false" customHeight="true" outlineLevel="0" collapsed="false">
      <c r="A123" s="228" t="n">
        <f aca="false">IF(OR(G122="",G122&lt;=0,C122&gt;150),NA(),A122+1)</f>
        <v>95</v>
      </c>
      <c r="B123" s="229" t="n">
        <f aca="false">IF(ISERROR(A123),"",IF($D$9="Annually",EDATE(B122,12),EDATE(B122,1)))</f>
        <v>49184</v>
      </c>
      <c r="C123" s="230" t="n">
        <f aca="false">IF(ISERROR(A123),"",C122+IF($D$9="Monthly",1/12,1))</f>
        <v>68.9666666666665</v>
      </c>
      <c r="D123" s="231" t="n">
        <f aca="false">IF(L122&lt;&gt;1, IF(G122&lt;E122,0,D122),IF(L122=1,IFERROR(ROUND(IF($G122 - (E122 * 6) &lt; 0, D122, ($G122 - (E122 * 6)) * $D$8 / 12),2),0) ) )</f>
        <v>20.76</v>
      </c>
      <c r="E123" s="231" t="n">
        <f aca="false">IF(ISERROR(A123), 0,  MAX(0,   MIN(    ROUND(G122 + D123, 2),    ROUND(FV($S$5, IF(type=1, A123, A122), , IF(J123&lt;&gt;1, -$D$20, -$P$16 + P123), 2), 0)   )  ) )</f>
        <v>22</v>
      </c>
      <c r="F123" s="231" t="n">
        <f aca="false">IF(J123&lt;&gt;1, "", IF(J122&lt;&gt;0, F122, $K$12))</f>
        <v>1</v>
      </c>
      <c r="G123" s="232" t="n">
        <f aca="false">IF(ISERROR(A123),"",ROUND(G122-E123+D123,2))</f>
        <v>5103.31</v>
      </c>
      <c r="H123" s="233" t="n">
        <f aca="false">IF(G123&gt;0,IFERROR(H122+(H122*($D$16/12)),""),"")</f>
        <v>21.5563657345305</v>
      </c>
      <c r="I123" s="223" t="n">
        <f aca="false">IF(ISERROR(A124),"",12 - MONTH(B123))</f>
        <v>4</v>
      </c>
      <c r="J123" s="224" t="n">
        <f aca="false">K123</f>
        <v>1</v>
      </c>
      <c r="K123" s="225" t="n">
        <f aca="false">_xlfn.IFNA(IF(B123&gt;=$K$11, 1,0),0)</f>
        <v>1</v>
      </c>
      <c r="L123" s="60" t="str">
        <f aca="false">IF(I123=0,1,"")</f>
        <v/>
      </c>
      <c r="P123" s="4" t="n">
        <f aca="false">IF(AND(G123&gt;E123, A123&lt;&gt;0, V123&lt;&gt;0), $N$5 * ($P$22 ^ V123 - 1), 0)</f>
        <v>0</v>
      </c>
      <c r="V123" s="71" t="n">
        <f aca="false">IF(B123&lt;EDATE($K$11,12), 0,  DATEDIF(EDATE($K$11,12), B123 + 1, "y") + 1 )</f>
        <v>3</v>
      </c>
    </row>
    <row r="124" customFormat="false" ht="12.75" hidden="false" customHeight="true" outlineLevel="0" collapsed="false">
      <c r="A124" s="228" t="n">
        <f aca="false">IF(OR(G123="",G123&lt;=0,C123&gt;150),NA(),A123+1)</f>
        <v>96</v>
      </c>
      <c r="B124" s="229" t="n">
        <f aca="false">IF(ISERROR(A124),"",IF($D$9="Annually",EDATE(B123,12),EDATE(B123,1)))</f>
        <v>49215</v>
      </c>
      <c r="C124" s="230" t="n">
        <f aca="false">IF(ISERROR(A124),"",C123+IF($D$9="Monthly",1/12,1))</f>
        <v>69.0499999999998</v>
      </c>
      <c r="D124" s="231" t="n">
        <f aca="false">IF(L123&lt;&gt;1, IF(G123&lt;E123,0,D123),IF(L123=1,IFERROR(ROUND(IF($G123 - (E123 * 6) &lt; 0, D123, ($G123 - (E123 * 6)) * $D$8 / 12),2),0) ) )</f>
        <v>20.76</v>
      </c>
      <c r="E124" s="231" t="n">
        <f aca="false">IF(ISERROR(A124), 0,  MAX(0,   MIN(    ROUND(G123 + D124, 2),    ROUND(FV($S$5, IF(type=1, A124, A123), , IF(J124&lt;&gt;1, -$D$20, -$P$16 + P124), 2), 0)   )  ) )</f>
        <v>22</v>
      </c>
      <c r="F124" s="231" t="n">
        <f aca="false">IF(J124&lt;&gt;1, "", IF(J123&lt;&gt;0, F123, $K$12))</f>
        <v>1</v>
      </c>
      <c r="G124" s="232" t="n">
        <f aca="false">IF(ISERROR(A124),"",ROUND(G123-E124+D124,2))</f>
        <v>5102.07</v>
      </c>
      <c r="H124" s="237" t="n">
        <f aca="false">IF(G124&gt;0,IFERROR(H123+(H123*($D$16/12)),""),"")</f>
        <v>21.5922930107547</v>
      </c>
      <c r="I124" s="223" t="n">
        <f aca="false">IF(ISERROR(A125),"",12 - MONTH(B124))</f>
        <v>3</v>
      </c>
      <c r="J124" s="224" t="n">
        <f aca="false">K124</f>
        <v>1</v>
      </c>
      <c r="K124" s="225" t="n">
        <f aca="false">_xlfn.IFNA(IF(B124&gt;=$K$11, 1,0),0)</f>
        <v>1</v>
      </c>
      <c r="L124" s="60" t="str">
        <f aca="false">IF(I124=0,1,"")</f>
        <v/>
      </c>
      <c r="P124" s="4" t="n">
        <f aca="false">IF(AND(G124&gt;E124, A124&lt;&gt;0, V124&lt;&gt;0), $N$5 * ($P$22 ^ V124 - 1), 0)</f>
        <v>0</v>
      </c>
      <c r="V124" s="71" t="n">
        <f aca="false">IF(B124&lt;EDATE($K$11,12), 0,  DATEDIF(EDATE($K$11,12), B124 + 1, "y") + 1 )</f>
        <v>3</v>
      </c>
    </row>
    <row r="125" customFormat="false" ht="12.75" hidden="false" customHeight="true" outlineLevel="0" collapsed="false">
      <c r="A125" s="228" t="n">
        <f aca="false">IF(OR(G124="",G124&lt;=0,C124&gt;150),NA(),A124+1)</f>
        <v>97</v>
      </c>
      <c r="B125" s="229" t="n">
        <f aca="false">IF(ISERROR(A125),"",IF($D$9="Annually",EDATE(B124,12),EDATE(B124,1)))</f>
        <v>49245</v>
      </c>
      <c r="C125" s="230" t="n">
        <f aca="false">IF(ISERROR(A125),"",C124+IF($D$9="Monthly",1/12,1))</f>
        <v>69.1333333333331</v>
      </c>
      <c r="D125" s="231" t="n">
        <f aca="false">IF(L124&lt;&gt;1, IF(G124&lt;E124,0,D124),IF(L124=1,IFERROR(ROUND(IF($G124 - (E124 * 6) &lt; 0, D124, ($G124 - (E124 * 6)) * $D$8 / 12),2),0) ) )</f>
        <v>20.76</v>
      </c>
      <c r="E125" s="231" t="n">
        <f aca="false">IF(ISERROR(A125), 0,  MAX(0,   MIN(    ROUND(G124 + D125, 2),    ROUND(FV($S$5, IF(type=1, A125, A124), , IF(J125&lt;&gt;1, -$D$20, -$P$16 + P125), 2), 0)   )  ) )</f>
        <v>22</v>
      </c>
      <c r="F125" s="231" t="n">
        <f aca="false">IF(J125&lt;&gt;1, "", IF(J124&lt;&gt;0, F124, $K$12))</f>
        <v>1</v>
      </c>
      <c r="G125" s="232" t="n">
        <f aca="false">IF(ISERROR(A125),"",ROUND(G124-E125+D125,2))</f>
        <v>5100.83</v>
      </c>
      <c r="H125" s="233" t="n">
        <f aca="false">IF(G125&gt;0,IFERROR(H124+(H124*($D$16/12)),""),"")</f>
        <v>21.6282801657726</v>
      </c>
      <c r="I125" s="223" t="n">
        <f aca="false">IF(ISERROR(A126),"",12 - MONTH(B125))</f>
        <v>2</v>
      </c>
      <c r="J125" s="224" t="n">
        <f aca="false">K125</f>
        <v>1</v>
      </c>
      <c r="K125" s="225" t="n">
        <f aca="false">_xlfn.IFNA(IF(B125&gt;=$K$11, 1,0),0)</f>
        <v>1</v>
      </c>
      <c r="L125" s="60" t="str">
        <f aca="false">IF(I125=0,1,"")</f>
        <v/>
      </c>
      <c r="P125" s="4" t="n">
        <f aca="false">IF(AND(G125&gt;E125, A125&lt;&gt;0, V125&lt;&gt;0), $N$5 * ($P$22 ^ V125 - 1), 0)</f>
        <v>0</v>
      </c>
      <c r="V125" s="71" t="n">
        <f aca="false">IF(B125&lt;EDATE($K$11,12), 0,  DATEDIF(EDATE($K$11,12), B125 + 1, "y") + 1 )</f>
        <v>3</v>
      </c>
    </row>
    <row r="126" customFormat="false" ht="12.75" hidden="false" customHeight="true" outlineLevel="0" collapsed="false">
      <c r="A126" s="228" t="n">
        <f aca="false">IF(OR(G125="",G125&lt;=0,C125&gt;150),NA(),A125+1)</f>
        <v>98</v>
      </c>
      <c r="B126" s="229" t="n">
        <f aca="false">IF(ISERROR(A126),"",IF($D$9="Annually",EDATE(B125,12),EDATE(B125,1)))</f>
        <v>49276</v>
      </c>
      <c r="C126" s="230" t="n">
        <f aca="false">IF(ISERROR(A126),"",C125+IF($D$9="Monthly",1/12,1))</f>
        <v>69.2166666666665</v>
      </c>
      <c r="D126" s="231" t="n">
        <f aca="false">IF(L125&lt;&gt;1, IF(G125&lt;E125,0,D125),IF(L125=1,IFERROR(ROUND(IF($G125 - (E125 * 6) &lt; 0, D125, ($G125 - (E125 * 6)) * $D$8 / 12),2),0) ) )</f>
        <v>20.76</v>
      </c>
      <c r="E126" s="231" t="n">
        <f aca="false">IF(ISERROR(A126), 0,  MAX(0,   MIN(    ROUND(G125 + D126, 2),    ROUND(FV($S$5, IF(type=1, A126, A125), , IF(J126&lt;&gt;1, -$D$20, -$P$16 + P126), 2), 0)   )  ) )</f>
        <v>22</v>
      </c>
      <c r="F126" s="231" t="n">
        <f aca="false">IF(J126&lt;&gt;1, "", IF(J125&lt;&gt;0, F125, $K$12))</f>
        <v>1</v>
      </c>
      <c r="G126" s="232" t="n">
        <f aca="false">IF(ISERROR(A126),"",ROUND(G125-E126+D126,2))</f>
        <v>5099.59</v>
      </c>
      <c r="H126" s="237" t="n">
        <f aca="false">IF(G126&gt;0,IFERROR(H125+(H125*($D$16/12)),""),"")</f>
        <v>21.6643272993822</v>
      </c>
      <c r="I126" s="223" t="n">
        <f aca="false">IF(ISERROR(A127),"",12 - MONTH(B126))</f>
        <v>1</v>
      </c>
      <c r="J126" s="224" t="n">
        <f aca="false">K126</f>
        <v>1</v>
      </c>
      <c r="K126" s="225" t="n">
        <f aca="false">_xlfn.IFNA(IF(B126&gt;=$K$11, 1,0),0)</f>
        <v>1</v>
      </c>
      <c r="L126" s="60" t="str">
        <f aca="false">IF(I126=0,1,"")</f>
        <v/>
      </c>
      <c r="P126" s="4" t="n">
        <f aca="false">IF(AND(G126&gt;E126, A126&lt;&gt;0, V126&lt;&gt;0), $N$5 * ($P$22 ^ V126 - 1), 0)</f>
        <v>0</v>
      </c>
      <c r="V126" s="71" t="n">
        <f aca="false">IF(B126&lt;EDATE($K$11,12), 0,  DATEDIF(EDATE($K$11,12), B126 + 1, "y") + 1 )</f>
        <v>3</v>
      </c>
    </row>
    <row r="127" customFormat="false" ht="12.75" hidden="false" customHeight="true" outlineLevel="0" collapsed="false">
      <c r="A127" s="228" t="n">
        <f aca="false">IF(OR(G126="",G126&lt;=0,C126&gt;150),NA(),A126+1)</f>
        <v>99</v>
      </c>
      <c r="B127" s="229" t="n">
        <f aca="false">IF(ISERROR(A127),"",IF($D$9="Annually",EDATE(B126,12),EDATE(B126,1)))</f>
        <v>49306</v>
      </c>
      <c r="C127" s="230" t="n">
        <f aca="false">IF(ISERROR(A127),"",C126+IF($D$9="Monthly",1/12,1))</f>
        <v>69.2999999999998</v>
      </c>
      <c r="D127" s="231" t="n">
        <f aca="false">IF(L126&lt;&gt;1, IF(G126&lt;E126,0,D126),IF(L126=1,IFERROR(ROUND(IF($G126 - (E126 * 6) &lt; 0, D126, ($G126 - (E126 * 6)) * $D$8 / 12),2),0) ) )</f>
        <v>20.76</v>
      </c>
      <c r="E127" s="231" t="n">
        <f aca="false">IF(ISERROR(A127), 0,  MAX(0,   MIN(    ROUND(G126 + D127, 2),    ROUND(FV($S$5, IF(type=1, A127, A126), , IF(J127&lt;&gt;1, -$D$20, -$P$16 + P127), 2), 0)   )  ) )</f>
        <v>22</v>
      </c>
      <c r="F127" s="231" t="n">
        <f aca="false">IF(J127&lt;&gt;1, "", IF(J126&lt;&gt;0, F126, $K$12))</f>
        <v>1</v>
      </c>
      <c r="G127" s="232" t="n">
        <f aca="false">IF(ISERROR(A127),"",ROUND(G126-E127+D127,2))</f>
        <v>5098.35</v>
      </c>
      <c r="H127" s="233" t="n">
        <f aca="false">IF(G127&gt;0,IFERROR(H126+(H126*($D$16/12)),""),"")</f>
        <v>21.7004345115479</v>
      </c>
      <c r="I127" s="223" t="n">
        <f aca="false">IF(ISERROR(A128),"",12 - MONTH(B127))</f>
        <v>0</v>
      </c>
      <c r="J127" s="224" t="n">
        <f aca="false">K127</f>
        <v>1</v>
      </c>
      <c r="K127" s="225" t="n">
        <f aca="false">_xlfn.IFNA(IF(B127&gt;=$K$11, 1,0),0)</f>
        <v>1</v>
      </c>
      <c r="L127" s="60" t="n">
        <f aca="false">IF(I127=0,1,"")</f>
        <v>1</v>
      </c>
      <c r="P127" s="4" t="n">
        <f aca="false">IF(AND(G127&gt;E127, A127&lt;&gt;0, V127&lt;&gt;0), $N$5 * ($P$22 ^ V127 - 1), 0)</f>
        <v>0</v>
      </c>
      <c r="V127" s="71" t="n">
        <f aca="false">IF(B127&lt;EDATE($K$11,12), 0,  DATEDIF(EDATE($K$11,12), B127 + 1, "y") + 1 )</f>
        <v>3</v>
      </c>
    </row>
    <row r="128" customFormat="false" ht="12.75" hidden="false" customHeight="true" outlineLevel="0" collapsed="false">
      <c r="A128" s="228" t="n">
        <f aca="false">IF(OR(G127="",G127&lt;=0,C127&gt;150),NA(),A127+1)</f>
        <v>100</v>
      </c>
      <c r="B128" s="229" t="n">
        <f aca="false">IF(ISERROR(A128),"",IF($D$9="Annually",EDATE(B127,12),EDATE(B127,1)))</f>
        <v>49337</v>
      </c>
      <c r="C128" s="230" t="n">
        <f aca="false">IF(ISERROR(A128),"",C127+IF($D$9="Monthly",1/12,1))</f>
        <v>69.3833333333331</v>
      </c>
      <c r="D128" s="231" t="n">
        <f aca="false">IF(L127&lt;&gt;1, IF(G127&lt;E127,0,D127),IF(L127=1,IFERROR(ROUND(IF($G127 - (E127 * 6) &lt; 0, D127, ($G127 - (E127 * 6)) * $D$8 / 12),2),0) ) )</f>
        <v>20.69</v>
      </c>
      <c r="E128" s="231" t="n">
        <f aca="false">IF(ISERROR(A128), 0,  MAX(0,   MIN(    ROUND(G127 + D128, 2),    ROUND(FV($S$5, IF(type=1, A128, A127), , IF(J128&lt;&gt;1, -$D$20, -$P$16 + P128), 2), 0)   )  ) )</f>
        <v>22</v>
      </c>
      <c r="F128" s="231" t="n">
        <f aca="false">IF(J128&lt;&gt;1, "", IF(J127&lt;&gt;0, F127, $K$12))</f>
        <v>1</v>
      </c>
      <c r="G128" s="232" t="n">
        <f aca="false">IF(ISERROR(A128),"",ROUND(G127-E128+D128,2))</f>
        <v>5097.04</v>
      </c>
      <c r="H128" s="237" t="n">
        <f aca="false">IF(G128&gt;0,IFERROR(H127+(H127*($D$16/12)),""),"")</f>
        <v>21.7366019024004</v>
      </c>
      <c r="I128" s="223" t="n">
        <f aca="false">IF(ISERROR(A129),"",12 - MONTH(B128))</f>
        <v>11</v>
      </c>
      <c r="J128" s="224" t="n">
        <f aca="false">K128</f>
        <v>1</v>
      </c>
      <c r="K128" s="225" t="n">
        <f aca="false">_xlfn.IFNA(IF(B128&gt;=$K$11, 1,0),0)</f>
        <v>1</v>
      </c>
      <c r="L128" s="60" t="str">
        <f aca="false">IF(I128=0,1,"")</f>
        <v/>
      </c>
      <c r="P128" s="4" t="n">
        <f aca="false">IF(AND(G128&gt;E128, A128&lt;&gt;0, V128&lt;&gt;0), $N$5 * ($P$22 ^ V128 - 1), 0)</f>
        <v>0</v>
      </c>
      <c r="V128" s="71" t="n">
        <f aca="false">IF(B128&lt;EDATE($K$11,12), 0,  DATEDIF(EDATE($K$11,12), B128 + 1, "y") + 1 )</f>
        <v>4</v>
      </c>
    </row>
    <row r="129" customFormat="false" ht="12.75" hidden="false" customHeight="true" outlineLevel="0" collapsed="false">
      <c r="A129" s="228" t="n">
        <f aca="false">IF(OR(G128="",G128&lt;=0,C128&gt;150),NA(),A128+1)</f>
        <v>101</v>
      </c>
      <c r="B129" s="229" t="n">
        <f aca="false">IF(ISERROR(A129),"",IF($D$9="Annually",EDATE(B128,12),EDATE(B128,1)))</f>
        <v>49368</v>
      </c>
      <c r="C129" s="230" t="n">
        <f aca="false">IF(ISERROR(A129),"",C128+IF($D$9="Monthly",1/12,1))</f>
        <v>69.4666666666664</v>
      </c>
      <c r="D129" s="231" t="n">
        <f aca="false">IF(L128&lt;&gt;1, IF(G128&lt;E128,0,D128),IF(L128=1,IFERROR(ROUND(IF($G128 - (E128 * 6) &lt; 0, D128, ($G128 - (E128 * 6)) * $D$8 / 12),2),0) ) )</f>
        <v>20.69</v>
      </c>
      <c r="E129" s="231" t="n">
        <f aca="false">IF(ISERROR(A129), 0,  MAX(0,   MIN(    ROUND(G128 + D129, 2),    ROUND(FV($S$5, IF(type=1, A129, A128), , IF(J129&lt;&gt;1, -$D$20, -$P$16 + P129), 2), 0)   )  ) )</f>
        <v>22</v>
      </c>
      <c r="F129" s="231" t="n">
        <f aca="false">IF(J129&lt;&gt;1, "", IF(J128&lt;&gt;0, F128, $K$12))</f>
        <v>1</v>
      </c>
      <c r="G129" s="232" t="n">
        <f aca="false">IF(ISERROR(A129),"",ROUND(G128-E129+D129,2))</f>
        <v>5095.73</v>
      </c>
      <c r="H129" s="233" t="n">
        <f aca="false">IF(G129&gt;0,IFERROR(H128+(H128*($D$16/12)),""),"")</f>
        <v>21.7728295722378</v>
      </c>
      <c r="I129" s="223" t="n">
        <f aca="false">IF(ISERROR(A130),"",12 - MONTH(B129))</f>
        <v>10</v>
      </c>
      <c r="J129" s="224" t="n">
        <f aca="false">K129</f>
        <v>1</v>
      </c>
      <c r="K129" s="225" t="n">
        <f aca="false">_xlfn.IFNA(IF(B129&gt;=$K$11, 1,0),0)</f>
        <v>1</v>
      </c>
      <c r="L129" s="60" t="str">
        <f aca="false">IF(I129=0,1,"")</f>
        <v/>
      </c>
      <c r="P129" s="4" t="n">
        <f aca="false">IF(AND(G129&gt;E129, A129&lt;&gt;0, V129&lt;&gt;0), $N$5 * ($P$22 ^ V129 - 1), 0)</f>
        <v>0</v>
      </c>
      <c r="V129" s="71" t="n">
        <f aca="false">IF(B129&lt;EDATE($K$11,12), 0,  DATEDIF(EDATE($K$11,12), B129 + 1, "y") + 1 )</f>
        <v>4</v>
      </c>
    </row>
    <row r="130" customFormat="false" ht="12.75" hidden="false" customHeight="true" outlineLevel="0" collapsed="false">
      <c r="A130" s="228" t="n">
        <f aca="false">IF(OR(G129="",G129&lt;=0,C129&gt;150),NA(),A129+1)</f>
        <v>102</v>
      </c>
      <c r="B130" s="229" t="n">
        <f aca="false">IF(ISERROR(A130),"",IF($D$9="Annually",EDATE(B129,12),EDATE(B129,1)))</f>
        <v>49396</v>
      </c>
      <c r="C130" s="230" t="n">
        <f aca="false">IF(ISERROR(A130),"",C129+IF($D$9="Monthly",1/12,1))</f>
        <v>69.5499999999998</v>
      </c>
      <c r="D130" s="231" t="n">
        <f aca="false">IF(L129&lt;&gt;1, IF(G129&lt;E129,0,D129),IF(L129=1,IFERROR(ROUND(IF($G129 - (E129 * 6) &lt; 0, D129, ($G129 - (E129 * 6)) * $D$8 / 12),2),0) ) )</f>
        <v>20.69</v>
      </c>
      <c r="E130" s="231" t="n">
        <f aca="false">IF(ISERROR(A130), 0,  MAX(0,   MIN(    ROUND(G129 + D130, 2),    ROUND(FV($S$5, IF(type=1, A130, A129), , IF(J130&lt;&gt;1, -$D$20, -$P$16 + P130), 2), 0)   )  ) )</f>
        <v>22</v>
      </c>
      <c r="F130" s="231" t="n">
        <f aca="false">IF(J130&lt;&gt;1, "", IF(J129&lt;&gt;0, F129, $K$12))</f>
        <v>1</v>
      </c>
      <c r="G130" s="232" t="n">
        <f aca="false">IF(ISERROR(A130),"",ROUND(G129-E130+D130,2))</f>
        <v>5094.42</v>
      </c>
      <c r="H130" s="237" t="n">
        <f aca="false">IF(G130&gt;0,IFERROR(H129+(H129*($D$16/12)),""),"")</f>
        <v>21.8091176215248</v>
      </c>
      <c r="I130" s="223" t="n">
        <f aca="false">IF(ISERROR(A131),"",12 - MONTH(B130))</f>
        <v>9</v>
      </c>
      <c r="J130" s="224" t="n">
        <f aca="false">K130</f>
        <v>1</v>
      </c>
      <c r="K130" s="225" t="n">
        <f aca="false">_xlfn.IFNA(IF(B130&gt;=$K$11, 1,0),0)</f>
        <v>1</v>
      </c>
      <c r="L130" s="60" t="str">
        <f aca="false">IF(I130=0,1,"")</f>
        <v/>
      </c>
      <c r="P130" s="4" t="n">
        <f aca="false">IF(AND(G130&gt;E130, A130&lt;&gt;0, V130&lt;&gt;0), $N$5 * ($P$22 ^ V130 - 1), 0)</f>
        <v>0</v>
      </c>
      <c r="V130" s="71" t="n">
        <f aca="false">IF(B130&lt;EDATE($K$11,12), 0,  DATEDIF(EDATE($K$11,12), B130 + 1, "y") + 1 )</f>
        <v>4</v>
      </c>
    </row>
    <row r="131" customFormat="false" ht="12.75" hidden="false" customHeight="true" outlineLevel="0" collapsed="false">
      <c r="A131" s="228" t="n">
        <f aca="false">IF(OR(G130="",G130&lt;=0,C130&gt;150),NA(),A130+1)</f>
        <v>103</v>
      </c>
      <c r="B131" s="229" t="n">
        <f aca="false">IF(ISERROR(A131),"",IF($D$9="Annually",EDATE(B130,12),EDATE(B130,1)))</f>
        <v>49427</v>
      </c>
      <c r="C131" s="230" t="n">
        <f aca="false">IF(ISERROR(A131),"",C130+IF($D$9="Monthly",1/12,1))</f>
        <v>69.6333333333331</v>
      </c>
      <c r="D131" s="231" t="n">
        <f aca="false">IF(L130&lt;&gt;1, IF(G130&lt;E130,0,D130),IF(L130=1,IFERROR(ROUND(IF($G130 - (E130 * 6) &lt; 0, D130, ($G130 - (E130 * 6)) * $D$8 / 12),2),0) ) )</f>
        <v>20.69</v>
      </c>
      <c r="E131" s="231" t="n">
        <f aca="false">IF(ISERROR(A131), 0,  MAX(0,   MIN(    ROUND(G130 + D131, 2),    ROUND(FV($S$5, IF(type=1, A131, A130), , IF(J131&lt;&gt;1, -$D$20, -$P$16 + P131), 2), 0)   )  ) )</f>
        <v>22</v>
      </c>
      <c r="F131" s="231" t="n">
        <f aca="false">IF(J131&lt;&gt;1, "", IF(J130&lt;&gt;0, F130, $K$12))</f>
        <v>1</v>
      </c>
      <c r="G131" s="232" t="n">
        <f aca="false">IF(ISERROR(A131),"",ROUND(G130-E131+D131,2))</f>
        <v>5093.11</v>
      </c>
      <c r="H131" s="233" t="n">
        <f aca="false">IF(G131&gt;0,IFERROR(H130+(H130*($D$16/12)),""),"")</f>
        <v>21.845466150894</v>
      </c>
      <c r="I131" s="223" t="n">
        <f aca="false">IF(ISERROR(A132),"",12 - MONTH(B131))</f>
        <v>8</v>
      </c>
      <c r="J131" s="224" t="n">
        <f aca="false">K131</f>
        <v>1</v>
      </c>
      <c r="K131" s="225" t="n">
        <f aca="false">_xlfn.IFNA(IF(B131&gt;=$K$11, 1,0),0)</f>
        <v>1</v>
      </c>
      <c r="L131" s="60" t="str">
        <f aca="false">IF(I131=0,1,"")</f>
        <v/>
      </c>
      <c r="P131" s="4" t="n">
        <f aca="false">IF(AND(G131&gt;E131, A131&lt;&gt;0, V131&lt;&gt;0), $N$5 * ($P$22 ^ V131 - 1), 0)</f>
        <v>0</v>
      </c>
      <c r="V131" s="71" t="n">
        <f aca="false">IF(B131&lt;EDATE($K$11,12), 0,  DATEDIF(EDATE($K$11,12), B131 + 1, "y") + 1 )</f>
        <v>4</v>
      </c>
    </row>
    <row r="132" customFormat="false" ht="12.75" hidden="false" customHeight="true" outlineLevel="0" collapsed="false">
      <c r="A132" s="228" t="n">
        <f aca="false">IF(OR(G131="",G131&lt;=0,C131&gt;150),NA(),A131+1)</f>
        <v>104</v>
      </c>
      <c r="B132" s="229" t="n">
        <f aca="false">IF(ISERROR(A132),"",IF($D$9="Annually",EDATE(B131,12),EDATE(B131,1)))</f>
        <v>49457</v>
      </c>
      <c r="C132" s="230" t="n">
        <f aca="false">IF(ISERROR(A132),"",C131+IF($D$9="Monthly",1/12,1))</f>
        <v>69.7166666666664</v>
      </c>
      <c r="D132" s="231" t="n">
        <f aca="false">IF(L131&lt;&gt;1, IF(G131&lt;E131,0,D131),IF(L131=1,IFERROR(ROUND(IF($G131 - (E131 * 6) &lt; 0, D131, ($G131 - (E131 * 6)) * $D$8 / 12),2),0) ) )</f>
        <v>20.69</v>
      </c>
      <c r="E132" s="231" t="n">
        <f aca="false">IF(ISERROR(A132), 0,  MAX(0,   MIN(    ROUND(G131 + D132, 2),    ROUND(FV($S$5, IF(type=1, A132, A131), , IF(J132&lt;&gt;1, -$D$20, -$P$16 + P132), 2), 0)   )  ) )</f>
        <v>22</v>
      </c>
      <c r="F132" s="231" t="n">
        <f aca="false">IF(J132&lt;&gt;1, "", IF(J131&lt;&gt;0, F131, $K$12))</f>
        <v>1</v>
      </c>
      <c r="G132" s="232" t="n">
        <f aca="false">IF(ISERROR(A132),"",ROUND(G131-E132+D132,2))</f>
        <v>5091.8</v>
      </c>
      <c r="H132" s="237" t="n">
        <f aca="false">IF(G132&gt;0,IFERROR(H131+(H131*($D$16/12)),""),"")</f>
        <v>21.8818752611455</v>
      </c>
      <c r="I132" s="223" t="n">
        <f aca="false">IF(ISERROR(A133),"",12 - MONTH(B132))</f>
        <v>7</v>
      </c>
      <c r="J132" s="224" t="n">
        <f aca="false">K132</f>
        <v>1</v>
      </c>
      <c r="K132" s="225" t="n">
        <f aca="false">_xlfn.IFNA(IF(B132&gt;=$K$11, 1,0),0)</f>
        <v>1</v>
      </c>
      <c r="L132" s="60" t="str">
        <f aca="false">IF(I132=0,1,"")</f>
        <v/>
      </c>
      <c r="P132" s="4" t="n">
        <f aca="false">IF(AND(G132&gt;E132, A132&lt;&gt;0, V132&lt;&gt;0), $N$5 * ($P$22 ^ V132 - 1), 0)</f>
        <v>0</v>
      </c>
      <c r="V132" s="71" t="n">
        <f aca="false">IF(B132&lt;EDATE($K$11,12), 0,  DATEDIF(EDATE($K$11,12), B132 + 1, "y") + 1 )</f>
        <v>4</v>
      </c>
    </row>
    <row r="133" customFormat="false" ht="12.75" hidden="false" customHeight="true" outlineLevel="0" collapsed="false">
      <c r="A133" s="228" t="n">
        <f aca="false">IF(OR(G132="",G132&lt;=0,C132&gt;150),NA(),A132+1)</f>
        <v>105</v>
      </c>
      <c r="B133" s="229" t="n">
        <f aca="false">IF(ISERROR(A133),"",IF($D$9="Annually",EDATE(B132,12),EDATE(B132,1)))</f>
        <v>49488</v>
      </c>
      <c r="C133" s="230" t="n">
        <f aca="false">IF(ISERROR(A133),"",C132+IF($D$9="Monthly",1/12,1))</f>
        <v>69.7999999999998</v>
      </c>
      <c r="D133" s="231" t="n">
        <f aca="false">IF(L132&lt;&gt;1, IF(G132&lt;E132,0,D132),IF(L132=1,IFERROR(ROUND(IF($G132 - (E132 * 6) &lt; 0, D132, ($G132 - (E132 * 6)) * $D$8 / 12),2),0) ) )</f>
        <v>20.69</v>
      </c>
      <c r="E133" s="231" t="n">
        <f aca="false">IF(ISERROR(A133), 0,  MAX(0,   MIN(    ROUND(G132 + D133, 2),    ROUND(FV($S$5, IF(type=1, A133, A132), , IF(J133&lt;&gt;1, -$D$20, -$P$16 + P133), 2), 0)   )  ) )</f>
        <v>22</v>
      </c>
      <c r="F133" s="231" t="n">
        <f aca="false">IF(J133&lt;&gt;1, "", IF(J132&lt;&gt;0, F132, $K$12))</f>
        <v>1</v>
      </c>
      <c r="G133" s="232" t="n">
        <f aca="false">IF(ISERROR(A133),"",ROUND(G132-E133+D133,2))</f>
        <v>5090.49</v>
      </c>
      <c r="H133" s="233" t="n">
        <f aca="false">IF(G133&gt;0,IFERROR(H132+(H132*($D$16/12)),""),"")</f>
        <v>21.9183450532474</v>
      </c>
      <c r="I133" s="223" t="n">
        <f aca="false">IF(ISERROR(A134),"",12 - MONTH(B133))</f>
        <v>6</v>
      </c>
      <c r="J133" s="224" t="n">
        <f aca="false">K133</f>
        <v>1</v>
      </c>
      <c r="K133" s="225" t="n">
        <f aca="false">_xlfn.IFNA(IF(B133&gt;=$K$11, 1,0),0)</f>
        <v>1</v>
      </c>
      <c r="L133" s="60" t="str">
        <f aca="false">IF(I133=0,1,"")</f>
        <v/>
      </c>
      <c r="P133" s="4" t="n">
        <f aca="false">IF(AND(G133&gt;E133, A133&lt;&gt;0, V133&lt;&gt;0), $N$5 * ($P$22 ^ V133 - 1), 0)</f>
        <v>0</v>
      </c>
      <c r="V133" s="71" t="n">
        <f aca="false">IF(B133&lt;EDATE($K$11,12), 0,  DATEDIF(EDATE($K$11,12), B133 + 1, "y") + 1 )</f>
        <v>4</v>
      </c>
    </row>
    <row r="134" customFormat="false" ht="12.75" hidden="false" customHeight="true" outlineLevel="0" collapsed="false">
      <c r="A134" s="228" t="n">
        <f aca="false">IF(OR(G133="",G133&lt;=0,C133&gt;150),NA(),A133+1)</f>
        <v>106</v>
      </c>
      <c r="B134" s="229" t="n">
        <f aca="false">IF(ISERROR(A134),"",IF($D$9="Annually",EDATE(B133,12),EDATE(B133,1)))</f>
        <v>49518</v>
      </c>
      <c r="C134" s="230" t="n">
        <f aca="false">IF(ISERROR(A134),"",C133+IF($D$9="Monthly",1/12,1))</f>
        <v>69.8833333333331</v>
      </c>
      <c r="D134" s="231" t="n">
        <f aca="false">IF(L133&lt;&gt;1, IF(G133&lt;E133,0,D133),IF(L133=1,IFERROR(ROUND(IF($G133 - (E133 * 6) &lt; 0, D133, ($G133 - (E133 * 6)) * $D$8 / 12),2),0) ) )</f>
        <v>20.69</v>
      </c>
      <c r="E134" s="231" t="n">
        <f aca="false">IF(ISERROR(A134), 0,  MAX(0,   MIN(    ROUND(G133 + D134, 2),    ROUND(FV($S$5, IF(type=1, A134, A133), , IF(J134&lt;&gt;1, -$D$20, -$P$16 + P134), 2), 0)   )  ) )</f>
        <v>22</v>
      </c>
      <c r="F134" s="231" t="n">
        <f aca="false">IF(J134&lt;&gt;1, "", IF(J133&lt;&gt;0, F133, $K$12))</f>
        <v>1</v>
      </c>
      <c r="G134" s="232" t="n">
        <f aca="false">IF(ISERROR(A134),"",ROUND(G133-E134+D134,2))</f>
        <v>5089.18</v>
      </c>
      <c r="H134" s="237" t="n">
        <f aca="false">IF(G134&gt;0,IFERROR(H133+(H133*($D$16/12)),""),"")</f>
        <v>21.9548756283362</v>
      </c>
      <c r="I134" s="223" t="n">
        <f aca="false">IF(ISERROR(A135),"",12 - MONTH(B134))</f>
        <v>5</v>
      </c>
      <c r="J134" s="224" t="n">
        <f aca="false">K134</f>
        <v>1</v>
      </c>
      <c r="K134" s="225" t="n">
        <f aca="false">_xlfn.IFNA(IF(B134&gt;=$K$11, 1,0),0)</f>
        <v>1</v>
      </c>
      <c r="L134" s="60" t="str">
        <f aca="false">IF(I134=0,1,"")</f>
        <v/>
      </c>
      <c r="P134" s="4" t="n">
        <f aca="false">IF(AND(G134&gt;E134, A134&lt;&gt;0, V134&lt;&gt;0), $N$5 * ($P$22 ^ V134 - 1), 0)</f>
        <v>0</v>
      </c>
      <c r="V134" s="71" t="n">
        <f aca="false">IF(B134&lt;EDATE($K$11,12), 0,  DATEDIF(EDATE($K$11,12), B134 + 1, "y") + 1 )</f>
        <v>4</v>
      </c>
    </row>
    <row r="135" customFormat="false" ht="12.75" hidden="false" customHeight="true" outlineLevel="0" collapsed="false">
      <c r="A135" s="228" t="n">
        <f aca="false">IF(OR(G134="",G134&lt;=0,C134&gt;150),NA(),A134+1)</f>
        <v>107</v>
      </c>
      <c r="B135" s="229" t="n">
        <f aca="false">IF(ISERROR(A135),"",IF($D$9="Annually",EDATE(B134,12),EDATE(B134,1)))</f>
        <v>49549</v>
      </c>
      <c r="C135" s="230" t="n">
        <f aca="false">IF(ISERROR(A135),"",C134+IF($D$9="Monthly",1/12,1))</f>
        <v>69.9666666666664</v>
      </c>
      <c r="D135" s="231" t="n">
        <f aca="false">IF(L134&lt;&gt;1, IF(G134&lt;E134,0,D134),IF(L134=1,IFERROR(ROUND(IF($G134 - (E134 * 6) &lt; 0, D134, ($G134 - (E134 * 6)) * $D$8 / 12),2),0) ) )</f>
        <v>20.69</v>
      </c>
      <c r="E135" s="231" t="n">
        <f aca="false">IF(ISERROR(A135), 0,  MAX(0,   MIN(    ROUND(G134 + D135, 2),    ROUND(FV($S$5, IF(type=1, A135, A134), , IF(J135&lt;&gt;1, -$D$20, -$P$16 + P135), 2), 0)   )  ) )</f>
        <v>22</v>
      </c>
      <c r="F135" s="231" t="n">
        <f aca="false">IF(J135&lt;&gt;1, "", IF(J134&lt;&gt;0, F134, $K$12))</f>
        <v>1</v>
      </c>
      <c r="G135" s="232" t="n">
        <f aca="false">IF(ISERROR(A135),"",ROUND(G134-E135+D135,2))</f>
        <v>5087.87</v>
      </c>
      <c r="H135" s="233" t="n">
        <f aca="false">IF(G135&gt;0,IFERROR(H134+(H134*($D$16/12)),""),"")</f>
        <v>21.9914670877167</v>
      </c>
      <c r="I135" s="223" t="n">
        <f aca="false">IF(ISERROR(A136),"",12 - MONTH(B135))</f>
        <v>4</v>
      </c>
      <c r="J135" s="224" t="n">
        <f aca="false">K135</f>
        <v>1</v>
      </c>
      <c r="K135" s="225" t="n">
        <f aca="false">_xlfn.IFNA(IF(B135&gt;=$K$11, 1,0),0)</f>
        <v>1</v>
      </c>
      <c r="L135" s="60" t="str">
        <f aca="false">IF(I135=0,1,"")</f>
        <v/>
      </c>
      <c r="P135" s="4" t="n">
        <f aca="false">IF(AND(G135&gt;E135, A135&lt;&gt;0, V135&lt;&gt;0), $N$5 * ($P$22 ^ V135 - 1), 0)</f>
        <v>0</v>
      </c>
      <c r="V135" s="71" t="n">
        <f aca="false">IF(B135&lt;EDATE($K$11,12), 0,  DATEDIF(EDATE($K$11,12), B135 + 1, "y") + 1 )</f>
        <v>4</v>
      </c>
    </row>
    <row r="136" customFormat="false" ht="12.75" hidden="false" customHeight="true" outlineLevel="0" collapsed="false">
      <c r="A136" s="228" t="n">
        <f aca="false">IF(OR(G135="",G135&lt;=0,C135&gt;150),NA(),A135+1)</f>
        <v>108</v>
      </c>
      <c r="B136" s="229" t="n">
        <f aca="false">IF(ISERROR(A136),"",IF($D$9="Annually",EDATE(B135,12),EDATE(B135,1)))</f>
        <v>49580</v>
      </c>
      <c r="C136" s="230" t="n">
        <f aca="false">IF(ISERROR(A136),"",C135+IF($D$9="Monthly",1/12,1))</f>
        <v>70.0499999999997</v>
      </c>
      <c r="D136" s="231" t="n">
        <f aca="false">IF(L135&lt;&gt;1, IF(G135&lt;E135,0,D135),IF(L135=1,IFERROR(ROUND(IF($G135 - (E135 * 6) &lt; 0, D135, ($G135 - (E135 * 6)) * $D$8 / 12),2),0) ) )</f>
        <v>20.69</v>
      </c>
      <c r="E136" s="231" t="n">
        <f aca="false">IF(ISERROR(A136), 0,  MAX(0,   MIN(    ROUND(G135 + D136, 2),    ROUND(FV($S$5, IF(type=1, A136, A135), , IF(J136&lt;&gt;1, -$D$20, -$P$16 + P136), 2), 0)   )  ) )</f>
        <v>22</v>
      </c>
      <c r="F136" s="231" t="n">
        <f aca="false">IF(J136&lt;&gt;1, "", IF(J135&lt;&gt;0, F135, $K$12))</f>
        <v>1</v>
      </c>
      <c r="G136" s="232" t="n">
        <f aca="false">IF(ISERROR(A136),"",ROUND(G135-E136+D136,2))</f>
        <v>5086.56</v>
      </c>
      <c r="H136" s="237" t="n">
        <f aca="false">IF(G136&gt;0,IFERROR(H135+(H135*($D$16/12)),""),"")</f>
        <v>22.0281195328629</v>
      </c>
      <c r="I136" s="223" t="n">
        <f aca="false">IF(ISERROR(A137),"",12 - MONTH(B136))</f>
        <v>3</v>
      </c>
      <c r="J136" s="224" t="n">
        <f aca="false">K136</f>
        <v>1</v>
      </c>
      <c r="K136" s="225" t="n">
        <f aca="false">_xlfn.IFNA(IF(B136&gt;=$K$11, 1,0),0)</f>
        <v>1</v>
      </c>
      <c r="L136" s="60" t="str">
        <f aca="false">IF(I136=0,1,"")</f>
        <v/>
      </c>
      <c r="P136" s="4" t="n">
        <f aca="false">IF(AND(G136&gt;E136, A136&lt;&gt;0, V136&lt;&gt;0), $N$5 * ($P$22 ^ V136 - 1), 0)</f>
        <v>0</v>
      </c>
      <c r="V136" s="71" t="n">
        <f aca="false">IF(B136&lt;EDATE($K$11,12), 0,  DATEDIF(EDATE($K$11,12), B136 + 1, "y") + 1 )</f>
        <v>4</v>
      </c>
    </row>
    <row r="137" customFormat="false" ht="12.75" hidden="false" customHeight="true" outlineLevel="0" collapsed="false">
      <c r="A137" s="228" t="n">
        <f aca="false">IF(OR(G136="",G136&lt;=0,C136&gt;150),NA(),A136+1)</f>
        <v>109</v>
      </c>
      <c r="B137" s="229" t="n">
        <f aca="false">IF(ISERROR(A137),"",IF($D$9="Annually",EDATE(B136,12),EDATE(B136,1)))</f>
        <v>49610</v>
      </c>
      <c r="C137" s="230" t="n">
        <f aca="false">IF(ISERROR(A137),"",C136+IF($D$9="Monthly",1/12,1))</f>
        <v>70.1333333333331</v>
      </c>
      <c r="D137" s="231" t="n">
        <f aca="false">IF(L136&lt;&gt;1, IF(G136&lt;E136,0,D136),IF(L136=1,IFERROR(ROUND(IF($G136 - (E136 * 6) &lt; 0, D136, ($G136 - (E136 * 6)) * $D$8 / 12),2),0) ) )</f>
        <v>20.69</v>
      </c>
      <c r="E137" s="231" t="n">
        <f aca="false">IF(ISERROR(A137), 0,  MAX(0,   MIN(    ROUND(G136 + D137, 2),    ROUND(FV($S$5, IF(type=1, A137, A136), , IF(J137&lt;&gt;1, -$D$20, -$P$16 + P137), 2), 0)   )  ) )</f>
        <v>22</v>
      </c>
      <c r="F137" s="231" t="n">
        <f aca="false">IF(J137&lt;&gt;1, "", IF(J136&lt;&gt;0, F136, $K$12))</f>
        <v>1</v>
      </c>
      <c r="G137" s="232" t="n">
        <f aca="false">IF(ISERROR(A137),"",ROUND(G136-E137+D137,2))</f>
        <v>5085.25</v>
      </c>
      <c r="H137" s="233" t="n">
        <f aca="false">IF(G137&gt;0,IFERROR(H136+(H136*($D$16/12)),""),"")</f>
        <v>22.0648330654177</v>
      </c>
      <c r="I137" s="223" t="n">
        <f aca="false">IF(ISERROR(A138),"",12 - MONTH(B137))</f>
        <v>2</v>
      </c>
      <c r="J137" s="224" t="n">
        <f aca="false">K137</f>
        <v>1</v>
      </c>
      <c r="K137" s="225" t="n">
        <f aca="false">_xlfn.IFNA(IF(B137&gt;=$K$11, 1,0),0)</f>
        <v>1</v>
      </c>
      <c r="L137" s="60" t="str">
        <f aca="false">IF(I137=0,1,"")</f>
        <v/>
      </c>
      <c r="P137" s="4" t="n">
        <f aca="false">IF(AND(G137&gt;E137, A137&lt;&gt;0, V137&lt;&gt;0), $N$5 * ($P$22 ^ V137 - 1), 0)</f>
        <v>0</v>
      </c>
      <c r="V137" s="71" t="n">
        <f aca="false">IF(B137&lt;EDATE($K$11,12), 0,  DATEDIF(EDATE($K$11,12), B137 + 1, "y") + 1 )</f>
        <v>4</v>
      </c>
    </row>
    <row r="138" customFormat="false" ht="12.75" hidden="false" customHeight="true" outlineLevel="0" collapsed="false">
      <c r="A138" s="228" t="n">
        <f aca="false">IF(OR(G137="",G137&lt;=0,C137&gt;150),NA(),A137+1)</f>
        <v>110</v>
      </c>
      <c r="B138" s="229" t="n">
        <f aca="false">IF(ISERROR(A138),"",IF($D$9="Annually",EDATE(B137,12),EDATE(B137,1)))</f>
        <v>49641</v>
      </c>
      <c r="C138" s="230" t="n">
        <f aca="false">IF(ISERROR(A138),"",C137+IF($D$9="Monthly",1/12,1))</f>
        <v>70.2166666666664</v>
      </c>
      <c r="D138" s="231" t="n">
        <f aca="false">IF(L137&lt;&gt;1, IF(G137&lt;E137,0,D137),IF(L137=1,IFERROR(ROUND(IF($G137 - (E137 * 6) &lt; 0, D137, ($G137 - (E137 * 6)) * $D$8 / 12),2),0) ) )</f>
        <v>20.69</v>
      </c>
      <c r="E138" s="231" t="n">
        <f aca="false">IF(ISERROR(A138), 0,  MAX(0,   MIN(    ROUND(G137 + D138, 2),    ROUND(FV($S$5, IF(type=1, A138, A137), , IF(J138&lt;&gt;1, -$D$20, -$P$16 + P138), 2), 0)   )  ) )</f>
        <v>23</v>
      </c>
      <c r="F138" s="231" t="n">
        <f aca="false">IF(J138&lt;&gt;1, "", IF(J137&lt;&gt;0, F137, $K$12))</f>
        <v>1</v>
      </c>
      <c r="G138" s="232" t="n">
        <f aca="false">IF(ISERROR(A138),"",ROUND(G137-E138+D138,2))</f>
        <v>5082.94</v>
      </c>
      <c r="H138" s="237" t="n">
        <f aca="false">IF(G138&gt;0,IFERROR(H137+(H137*($D$16/12)),""),"")</f>
        <v>22.1016077871934</v>
      </c>
      <c r="I138" s="223" t="n">
        <f aca="false">IF(ISERROR(A139),"",12 - MONTH(B138))</f>
        <v>1</v>
      </c>
      <c r="J138" s="224" t="n">
        <f aca="false">K138</f>
        <v>1</v>
      </c>
      <c r="K138" s="225" t="n">
        <f aca="false">_xlfn.IFNA(IF(B138&gt;=$K$11, 1,0),0)</f>
        <v>1</v>
      </c>
      <c r="L138" s="60" t="str">
        <f aca="false">IF(I138=0,1,"")</f>
        <v/>
      </c>
      <c r="P138" s="4" t="n">
        <f aca="false">IF(AND(G138&gt;E138, A138&lt;&gt;0, V138&lt;&gt;0), $N$5 * ($P$22 ^ V138 - 1), 0)</f>
        <v>0</v>
      </c>
      <c r="V138" s="71" t="n">
        <f aca="false">IF(B138&lt;EDATE($K$11,12), 0,  DATEDIF(EDATE($K$11,12), B138 + 1, "y") + 1 )</f>
        <v>4</v>
      </c>
    </row>
    <row r="139" customFormat="false" ht="12.75" hidden="false" customHeight="true" outlineLevel="0" collapsed="false">
      <c r="A139" s="228" t="n">
        <f aca="false">IF(OR(G138="",G138&lt;=0,C138&gt;150),NA(),A138+1)</f>
        <v>111</v>
      </c>
      <c r="B139" s="229" t="n">
        <f aca="false">IF(ISERROR(A139),"",IF($D$9="Annually",EDATE(B138,12),EDATE(B138,1)))</f>
        <v>49671</v>
      </c>
      <c r="C139" s="230" t="n">
        <f aca="false">IF(ISERROR(A139),"",C138+IF($D$9="Monthly",1/12,1))</f>
        <v>70.2999999999997</v>
      </c>
      <c r="D139" s="231" t="n">
        <f aca="false">IF(L138&lt;&gt;1, IF(G138&lt;E138,0,D138),IF(L138=1,IFERROR(ROUND(IF($G138 - (E138 * 6) &lt; 0, D138, ($G138 - (E138 * 6)) * $D$8 / 12),2),0) ) )</f>
        <v>20.69</v>
      </c>
      <c r="E139" s="231" t="n">
        <f aca="false">IF(ISERROR(A139), 0,  MAX(0,   MIN(    ROUND(G138 + D139, 2),    ROUND(FV($S$5, IF(type=1, A139, A138), , IF(J139&lt;&gt;1, -$D$20, -$P$16 + P139), 2), 0)   )  ) )</f>
        <v>23</v>
      </c>
      <c r="F139" s="231" t="n">
        <f aca="false">IF(J139&lt;&gt;1, "", IF(J138&lt;&gt;0, F138, $K$12))</f>
        <v>1</v>
      </c>
      <c r="G139" s="232" t="n">
        <f aca="false">IF(ISERROR(A139),"",ROUND(G138-E139+D139,2))</f>
        <v>5080.63</v>
      </c>
      <c r="H139" s="233" t="n">
        <f aca="false">IF(G139&gt;0,IFERROR(H138+(H138*($D$16/12)),""),"")</f>
        <v>22.1384438001721</v>
      </c>
      <c r="I139" s="223" t="n">
        <f aca="false">IF(ISERROR(A140),"",12 - MONTH(B139))</f>
        <v>0</v>
      </c>
      <c r="J139" s="224" t="n">
        <f aca="false">K139</f>
        <v>1</v>
      </c>
      <c r="K139" s="225" t="n">
        <f aca="false">_xlfn.IFNA(IF(B139&gt;=$K$11, 1,0),0)</f>
        <v>1</v>
      </c>
      <c r="L139" s="60" t="n">
        <f aca="false">IF(I139=0,1,"")</f>
        <v>1</v>
      </c>
      <c r="P139" s="4" t="n">
        <f aca="false">IF(AND(G139&gt;E139, A139&lt;&gt;0, V139&lt;&gt;0), $N$5 * ($P$22 ^ V139 - 1), 0)</f>
        <v>0</v>
      </c>
      <c r="V139" s="71" t="n">
        <f aca="false">IF(B139&lt;EDATE($K$11,12), 0,  DATEDIF(EDATE($K$11,12), B139 + 1, "y") + 1 )</f>
        <v>4</v>
      </c>
    </row>
    <row r="140" customFormat="false" ht="12.75" hidden="false" customHeight="true" outlineLevel="0" collapsed="false">
      <c r="A140" s="228" t="n">
        <f aca="false">IF(OR(G139="",G139&lt;=0,C139&gt;150),NA(),A139+1)</f>
        <v>112</v>
      </c>
      <c r="B140" s="229" t="n">
        <f aca="false">IF(ISERROR(A140),"",IF($D$9="Annually",EDATE(B139,12),EDATE(B139,1)))</f>
        <v>49702</v>
      </c>
      <c r="C140" s="230" t="n">
        <f aca="false">IF(ISERROR(A140),"",C139+IF($D$9="Monthly",1/12,1))</f>
        <v>70.3833333333331</v>
      </c>
      <c r="D140" s="231" t="n">
        <f aca="false">IF(L139&lt;&gt;1, IF(G139&lt;E139,0,D139),IF(L139=1,IFERROR(ROUND(IF($G139 - (E139 * 6) &lt; 0, D139, ($G139 - (E139 * 6)) * $D$8 / 12),2),0) ) )</f>
        <v>20.59</v>
      </c>
      <c r="E140" s="231" t="n">
        <f aca="false">IF(ISERROR(A140), 0,  MAX(0,   MIN(    ROUND(G139 + D140, 2),    ROUND(FV($S$5, IF(type=1, A140, A139), , IF(J140&lt;&gt;1, -$D$20, -$P$16 + P140), 2), 0)   )  ) )</f>
        <v>23</v>
      </c>
      <c r="F140" s="231" t="n">
        <f aca="false">IF(J140&lt;&gt;1, "", IF(J139&lt;&gt;0, F139, $K$12))</f>
        <v>1</v>
      </c>
      <c r="G140" s="232" t="n">
        <f aca="false">IF(ISERROR(A140),"",ROUND(G139-E140+D140,2))</f>
        <v>5078.22</v>
      </c>
      <c r="H140" s="237" t="n">
        <f aca="false">IF(G140&gt;0,IFERROR(H139+(H139*($D$16/12)),""),"")</f>
        <v>22.1753412065057</v>
      </c>
      <c r="I140" s="223" t="n">
        <f aca="false">IF(ISERROR(A141),"",12 - MONTH(B140))</f>
        <v>11</v>
      </c>
      <c r="J140" s="224" t="n">
        <f aca="false">K140</f>
        <v>1</v>
      </c>
      <c r="K140" s="225" t="n">
        <f aca="false">_xlfn.IFNA(IF(B140&gt;=$K$11, 1,0),0)</f>
        <v>1</v>
      </c>
      <c r="L140" s="60" t="str">
        <f aca="false">IF(I140=0,1,"")</f>
        <v/>
      </c>
      <c r="P140" s="4" t="n">
        <f aca="false">IF(AND(G140&gt;E140, A140&lt;&gt;0, V140&lt;&gt;0), $N$5 * ($P$22 ^ V140 - 1), 0)</f>
        <v>0</v>
      </c>
      <c r="V140" s="71" t="n">
        <f aca="false">IF(B140&lt;EDATE($K$11,12), 0,  DATEDIF(EDATE($K$11,12), B140 + 1, "y") + 1 )</f>
        <v>5</v>
      </c>
    </row>
    <row r="141" customFormat="false" ht="12.75" hidden="false" customHeight="true" outlineLevel="0" collapsed="false">
      <c r="A141" s="228" t="n">
        <f aca="false">IF(OR(G140="",G140&lt;=0,C140&gt;150),NA(),A140+1)</f>
        <v>113</v>
      </c>
      <c r="B141" s="229" t="n">
        <f aca="false">IF(ISERROR(A141),"",IF($D$9="Annually",EDATE(B140,12),EDATE(B140,1)))</f>
        <v>49733</v>
      </c>
      <c r="C141" s="230" t="n">
        <f aca="false">IF(ISERROR(A141),"",C140+IF($D$9="Monthly",1/12,1))</f>
        <v>70.4666666666664</v>
      </c>
      <c r="D141" s="231" t="n">
        <f aca="false">IF(L140&lt;&gt;1, IF(G140&lt;E140,0,D140),IF(L140=1,IFERROR(ROUND(IF($G140 - (E140 * 6) &lt; 0, D140, ($G140 - (E140 * 6)) * $D$8 / 12),2),0) ) )</f>
        <v>20.59</v>
      </c>
      <c r="E141" s="231" t="n">
        <f aca="false">IF(ISERROR(A141), 0,  MAX(0,   MIN(    ROUND(G140 + D141, 2),    ROUND(FV($S$5, IF(type=1, A141, A140), , IF(J141&lt;&gt;1, -$D$20, -$P$16 + P141), 2), 0)   )  ) )</f>
        <v>23</v>
      </c>
      <c r="F141" s="231" t="n">
        <f aca="false">IF(J141&lt;&gt;1, "", IF(J140&lt;&gt;0, F140, $K$12))</f>
        <v>1</v>
      </c>
      <c r="G141" s="232" t="n">
        <f aca="false">IF(ISERROR(A141),"",ROUND(G140-E141+D141,2))</f>
        <v>5075.81</v>
      </c>
      <c r="H141" s="233" t="n">
        <f aca="false">IF(G141&gt;0,IFERROR(H140+(H140*($D$16/12)),""),"")</f>
        <v>22.2123001085165</v>
      </c>
      <c r="I141" s="223" t="n">
        <f aca="false">IF(ISERROR(A142),"",12 - MONTH(B141))</f>
        <v>10</v>
      </c>
      <c r="J141" s="224" t="n">
        <f aca="false">K141</f>
        <v>1</v>
      </c>
      <c r="K141" s="225" t="n">
        <f aca="false">_xlfn.IFNA(IF(B141&gt;=$K$11, 1,0),0)</f>
        <v>1</v>
      </c>
      <c r="L141" s="60" t="str">
        <f aca="false">IF(I141=0,1,"")</f>
        <v/>
      </c>
      <c r="P141" s="4" t="n">
        <f aca="false">IF(AND(G141&gt;E141, A141&lt;&gt;0, V141&lt;&gt;0), $N$5 * ($P$22 ^ V141 - 1), 0)</f>
        <v>0</v>
      </c>
      <c r="V141" s="71" t="n">
        <f aca="false">IF(B141&lt;EDATE($K$11,12), 0,  DATEDIF(EDATE($K$11,12), B141 + 1, "y") + 1 )</f>
        <v>5</v>
      </c>
    </row>
    <row r="142" customFormat="false" ht="12.75" hidden="false" customHeight="true" outlineLevel="0" collapsed="false">
      <c r="A142" s="228" t="n">
        <f aca="false">IF(OR(G141="",G141&lt;=0,C141&gt;150),NA(),A141+1)</f>
        <v>114</v>
      </c>
      <c r="B142" s="229" t="n">
        <f aca="false">IF(ISERROR(A142),"",IF($D$9="Annually",EDATE(B141,12),EDATE(B141,1)))</f>
        <v>49762</v>
      </c>
      <c r="C142" s="230" t="n">
        <f aca="false">IF(ISERROR(A142),"",C141+IF($D$9="Monthly",1/12,1))</f>
        <v>70.5499999999997</v>
      </c>
      <c r="D142" s="231" t="n">
        <f aca="false">IF(L141&lt;&gt;1, IF(G141&lt;E141,0,D141),IF(L141=1,IFERROR(ROUND(IF($G141 - (E141 * 6) &lt; 0, D141, ($G141 - (E141 * 6)) * $D$8 / 12),2),0) ) )</f>
        <v>20.59</v>
      </c>
      <c r="E142" s="231" t="n">
        <f aca="false">IF(ISERROR(A142), 0,  MAX(0,   MIN(    ROUND(G141 + D142, 2),    ROUND(FV($S$5, IF(type=1, A142, A141), , IF(J142&lt;&gt;1, -$D$20, -$P$16 + P142), 2), 0)   )  ) )</f>
        <v>23</v>
      </c>
      <c r="F142" s="231" t="n">
        <f aca="false">IF(J142&lt;&gt;1, "", IF(J141&lt;&gt;0, F141, $K$12))</f>
        <v>1</v>
      </c>
      <c r="G142" s="232" t="n">
        <f aca="false">IF(ISERROR(A142),"",ROUND(G141-E142+D142,2))</f>
        <v>5073.4</v>
      </c>
      <c r="H142" s="237" t="n">
        <f aca="false">IF(G142&gt;0,IFERROR(H141+(H141*($D$16/12)),""),"")</f>
        <v>22.2493206086974</v>
      </c>
      <c r="I142" s="223" t="n">
        <f aca="false">IF(ISERROR(A143),"",12 - MONTH(B142))</f>
        <v>9</v>
      </c>
      <c r="J142" s="224" t="n">
        <f aca="false">K142</f>
        <v>1</v>
      </c>
      <c r="K142" s="225" t="n">
        <f aca="false">_xlfn.IFNA(IF(B142&gt;=$K$11, 1,0),0)</f>
        <v>1</v>
      </c>
      <c r="L142" s="60" t="str">
        <f aca="false">IF(I142=0,1,"")</f>
        <v/>
      </c>
      <c r="P142" s="4" t="n">
        <f aca="false">IF(AND(G142&gt;E142, A142&lt;&gt;0, V142&lt;&gt;0), $N$5 * ($P$22 ^ V142 - 1), 0)</f>
        <v>0</v>
      </c>
      <c r="V142" s="71" t="n">
        <f aca="false">IF(B142&lt;EDATE($K$11,12), 0,  DATEDIF(EDATE($K$11,12), B142 + 1, "y") + 1 )</f>
        <v>5</v>
      </c>
    </row>
    <row r="143" customFormat="false" ht="12.75" hidden="false" customHeight="true" outlineLevel="0" collapsed="false">
      <c r="A143" s="228" t="n">
        <f aca="false">IF(OR(G142="",G142&lt;=0,C142&gt;150),NA(),A142+1)</f>
        <v>115</v>
      </c>
      <c r="B143" s="229" t="n">
        <f aca="false">IF(ISERROR(A143),"",IF($D$9="Annually",EDATE(B142,12),EDATE(B142,1)))</f>
        <v>49793</v>
      </c>
      <c r="C143" s="230" t="n">
        <f aca="false">IF(ISERROR(A143),"",C142+IF($D$9="Monthly",1/12,1))</f>
        <v>70.633333333333</v>
      </c>
      <c r="D143" s="231" t="n">
        <f aca="false">IF(L142&lt;&gt;1, IF(G142&lt;E142,0,D142),IF(L142=1,IFERROR(ROUND(IF($G142 - (E142 * 6) &lt; 0, D142, ($G142 - (E142 * 6)) * $D$8 / 12),2),0) ) )</f>
        <v>20.59</v>
      </c>
      <c r="E143" s="231" t="n">
        <f aca="false">IF(ISERROR(A143), 0,  MAX(0,   MIN(    ROUND(G142 + D143, 2),    ROUND(FV($S$5, IF(type=1, A143, A142), , IF(J143&lt;&gt;1, -$D$20, -$P$16 + P143), 2), 0)   )  ) )</f>
        <v>23</v>
      </c>
      <c r="F143" s="231" t="n">
        <f aca="false">IF(J143&lt;&gt;1, "", IF(J142&lt;&gt;0, F142, $K$12))</f>
        <v>1</v>
      </c>
      <c r="G143" s="232" t="n">
        <f aca="false">IF(ISERROR(A143),"",ROUND(G142-E143+D143,2))</f>
        <v>5070.99</v>
      </c>
      <c r="H143" s="233" t="n">
        <f aca="false">IF(G143&gt;0,IFERROR(H142+(H142*($D$16/12)),""),"")</f>
        <v>22.2864028097119</v>
      </c>
      <c r="I143" s="223" t="n">
        <f aca="false">IF(ISERROR(A144),"",12 - MONTH(B143))</f>
        <v>8</v>
      </c>
      <c r="J143" s="224" t="n">
        <f aca="false">K143</f>
        <v>1</v>
      </c>
      <c r="K143" s="225" t="n">
        <f aca="false">_xlfn.IFNA(IF(B143&gt;=$K$11, 1,0),0)</f>
        <v>1</v>
      </c>
      <c r="L143" s="60" t="str">
        <f aca="false">IF(I143=0,1,"")</f>
        <v/>
      </c>
      <c r="P143" s="4" t="n">
        <f aca="false">IF(AND(G143&gt;E143, A143&lt;&gt;0, V143&lt;&gt;0), $N$5 * ($P$22 ^ V143 - 1), 0)</f>
        <v>0</v>
      </c>
      <c r="V143" s="71" t="n">
        <f aca="false">IF(B143&lt;EDATE($K$11,12), 0,  DATEDIF(EDATE($K$11,12), B143 + 1, "y") + 1 )</f>
        <v>5</v>
      </c>
    </row>
    <row r="144" customFormat="false" ht="12.75" hidden="false" customHeight="true" outlineLevel="0" collapsed="false">
      <c r="A144" s="228" t="n">
        <f aca="false">IF(OR(G143="",G143&lt;=0,C143&gt;150),NA(),A143+1)</f>
        <v>116</v>
      </c>
      <c r="B144" s="229" t="n">
        <f aca="false">IF(ISERROR(A144),"",IF($D$9="Annually",EDATE(B143,12),EDATE(B143,1)))</f>
        <v>49823</v>
      </c>
      <c r="C144" s="230" t="n">
        <f aca="false">IF(ISERROR(A144),"",C143+IF($D$9="Monthly",1/12,1))</f>
        <v>70.7166666666664</v>
      </c>
      <c r="D144" s="231" t="n">
        <f aca="false">IF(L143&lt;&gt;1, IF(G143&lt;E143,0,D143),IF(L143=1,IFERROR(ROUND(IF($G143 - (E143 * 6) &lt; 0, D143, ($G143 - (E143 * 6)) * $D$8 / 12),2),0) ) )</f>
        <v>20.59</v>
      </c>
      <c r="E144" s="231" t="n">
        <f aca="false">IF(ISERROR(A144), 0,  MAX(0,   MIN(    ROUND(G143 + D144, 2),    ROUND(FV($S$5, IF(type=1, A144, A143), , IF(J144&lt;&gt;1, -$D$20, -$P$16 + P144), 2), 0)   )  ) )</f>
        <v>23</v>
      </c>
      <c r="F144" s="231" t="n">
        <f aca="false">IF(J144&lt;&gt;1, "", IF(J143&lt;&gt;0, F143, $K$12))</f>
        <v>1</v>
      </c>
      <c r="G144" s="232" t="n">
        <f aca="false">IF(ISERROR(A144),"",ROUND(G143-E144+D144,2))</f>
        <v>5068.58</v>
      </c>
      <c r="H144" s="237" t="n">
        <f aca="false">IF(G144&gt;0,IFERROR(H143+(H143*($D$16/12)),""),"")</f>
        <v>22.3235468143947</v>
      </c>
      <c r="I144" s="223" t="n">
        <f aca="false">IF(ISERROR(A145),"",12 - MONTH(B144))</f>
        <v>7</v>
      </c>
      <c r="J144" s="224" t="n">
        <f aca="false">K144</f>
        <v>1</v>
      </c>
      <c r="K144" s="225" t="n">
        <f aca="false">_xlfn.IFNA(IF(B144&gt;=$K$11, 1,0),0)</f>
        <v>1</v>
      </c>
      <c r="L144" s="60" t="str">
        <f aca="false">IF(I144=0,1,"")</f>
        <v/>
      </c>
      <c r="P144" s="4" t="n">
        <f aca="false">IF(AND(G144&gt;E144, A144&lt;&gt;0, V144&lt;&gt;0), $N$5 * ($P$22 ^ V144 - 1), 0)</f>
        <v>0</v>
      </c>
      <c r="V144" s="71" t="n">
        <f aca="false">IF(B144&lt;EDATE($K$11,12), 0,  DATEDIF(EDATE($K$11,12), B144 + 1, "y") + 1 )</f>
        <v>5</v>
      </c>
    </row>
    <row r="145" customFormat="false" ht="12.75" hidden="false" customHeight="true" outlineLevel="0" collapsed="false">
      <c r="A145" s="228" t="n">
        <f aca="false">IF(OR(G144="",G144&lt;=0,C144&gt;150),NA(),A144+1)</f>
        <v>117</v>
      </c>
      <c r="B145" s="229" t="n">
        <f aca="false">IF(ISERROR(A145),"",IF($D$9="Annually",EDATE(B144,12),EDATE(B144,1)))</f>
        <v>49854</v>
      </c>
      <c r="C145" s="230" t="n">
        <f aca="false">IF(ISERROR(A145),"",C144+IF($D$9="Monthly",1/12,1))</f>
        <v>70.7999999999997</v>
      </c>
      <c r="D145" s="231" t="n">
        <f aca="false">IF(L144&lt;&gt;1, IF(G144&lt;E144,0,D144),IF(L144=1,IFERROR(ROUND(IF($G144 - (E144 * 6) &lt; 0, D144, ($G144 - (E144 * 6)) * $D$8 / 12),2),0) ) )</f>
        <v>20.59</v>
      </c>
      <c r="E145" s="231" t="n">
        <f aca="false">IF(ISERROR(A145), 0,  MAX(0,   MIN(    ROUND(G144 + D145, 2),    ROUND(FV($S$5, IF(type=1, A145, A144), , IF(J145&lt;&gt;1, -$D$20, -$P$16 + P145), 2), 0)   )  ) )</f>
        <v>23</v>
      </c>
      <c r="F145" s="231" t="n">
        <f aca="false">IF(J145&lt;&gt;1, "", IF(J144&lt;&gt;0, F144, $K$12))</f>
        <v>1</v>
      </c>
      <c r="G145" s="232" t="n">
        <f aca="false">IF(ISERROR(A145),"",ROUND(G144-E145+D145,2))</f>
        <v>5066.17</v>
      </c>
      <c r="H145" s="233" t="n">
        <f aca="false">IF(G145&gt;0,IFERROR(H144+(H144*($D$16/12)),""),"")</f>
        <v>22.3607527257521</v>
      </c>
      <c r="I145" s="223" t="n">
        <f aca="false">IF(ISERROR(A146),"",12 - MONTH(B145))</f>
        <v>6</v>
      </c>
      <c r="J145" s="224" t="n">
        <f aca="false">K145</f>
        <v>1</v>
      </c>
      <c r="K145" s="225" t="n">
        <f aca="false">_xlfn.IFNA(IF(B145&gt;=$K$11, 1,0),0)</f>
        <v>1</v>
      </c>
      <c r="L145" s="60" t="str">
        <f aca="false">IF(I145=0,1,"")</f>
        <v/>
      </c>
      <c r="P145" s="4" t="n">
        <f aca="false">IF(AND(G145&gt;E145, A145&lt;&gt;0, V145&lt;&gt;0), $N$5 * ($P$22 ^ V145 - 1), 0)</f>
        <v>0</v>
      </c>
      <c r="V145" s="71" t="n">
        <f aca="false">IF(B145&lt;EDATE($K$11,12), 0,  DATEDIF(EDATE($K$11,12), B145 + 1, "y") + 1 )</f>
        <v>5</v>
      </c>
    </row>
    <row r="146" customFormat="false" ht="12.75" hidden="false" customHeight="true" outlineLevel="0" collapsed="false">
      <c r="A146" s="228" t="n">
        <f aca="false">IF(OR(G145="",G145&lt;=0,C145&gt;150),NA(),A145+1)</f>
        <v>118</v>
      </c>
      <c r="B146" s="229" t="n">
        <f aca="false">IF(ISERROR(A146),"",IF($D$9="Annually",EDATE(B145,12),EDATE(B145,1)))</f>
        <v>49884</v>
      </c>
      <c r="C146" s="230" t="n">
        <f aca="false">IF(ISERROR(A146),"",C145+IF($D$9="Monthly",1/12,1))</f>
        <v>70.883333333333</v>
      </c>
      <c r="D146" s="231" t="n">
        <f aca="false">IF(L145&lt;&gt;1, IF(G145&lt;E145,0,D145),IF(L145=1,IFERROR(ROUND(IF($G145 - (E145 * 6) &lt; 0, D145, ($G145 - (E145 * 6)) * $D$8 / 12),2),0) ) )</f>
        <v>20.59</v>
      </c>
      <c r="E146" s="231" t="n">
        <f aca="false">IF(ISERROR(A146), 0,  MAX(0,   MIN(    ROUND(G145 + D146, 2),    ROUND(FV($S$5, IF(type=1, A146, A145), , IF(J146&lt;&gt;1, -$D$20, -$P$16 + P146), 2), 0)   )  ) )</f>
        <v>23</v>
      </c>
      <c r="F146" s="231" t="n">
        <f aca="false">IF(J146&lt;&gt;1, "", IF(J145&lt;&gt;0, F145, $K$12))</f>
        <v>1</v>
      </c>
      <c r="G146" s="232" t="n">
        <f aca="false">IF(ISERROR(A146),"",ROUND(G145-E146+D146,2))</f>
        <v>5063.76</v>
      </c>
      <c r="H146" s="237" t="n">
        <f aca="false">IF(G146&gt;0,IFERROR(H145+(H145*($D$16/12)),""),"")</f>
        <v>22.3980206469616</v>
      </c>
      <c r="I146" s="223" t="n">
        <f aca="false">IF(ISERROR(A147),"",12 - MONTH(B146))</f>
        <v>5</v>
      </c>
      <c r="J146" s="224" t="n">
        <f aca="false">K146</f>
        <v>1</v>
      </c>
      <c r="K146" s="225" t="n">
        <f aca="false">_xlfn.IFNA(IF(B146&gt;=$K$11, 1,0),0)</f>
        <v>1</v>
      </c>
      <c r="L146" s="60" t="str">
        <f aca="false">IF(I146=0,1,"")</f>
        <v/>
      </c>
      <c r="P146" s="4" t="n">
        <f aca="false">IF(AND(G146&gt;E146, A146&lt;&gt;0, V146&lt;&gt;0), $N$5 * ($P$22 ^ V146 - 1), 0)</f>
        <v>0</v>
      </c>
      <c r="V146" s="71" t="n">
        <f aca="false">IF(B146&lt;EDATE($K$11,12), 0,  DATEDIF(EDATE($K$11,12), B146 + 1, "y") + 1 )</f>
        <v>5</v>
      </c>
    </row>
    <row r="147" customFormat="false" ht="12.75" hidden="false" customHeight="true" outlineLevel="0" collapsed="false">
      <c r="A147" s="228" t="n">
        <f aca="false">IF(OR(G146="",G146&lt;=0,C146&gt;150),NA(),A146+1)</f>
        <v>119</v>
      </c>
      <c r="B147" s="229" t="n">
        <f aca="false">IF(ISERROR(A147),"",IF($D$9="Annually",EDATE(B146,12),EDATE(B146,1)))</f>
        <v>49915</v>
      </c>
      <c r="C147" s="230" t="n">
        <f aca="false">IF(ISERROR(A147),"",C146+IF($D$9="Monthly",1/12,1))</f>
        <v>70.9666666666664</v>
      </c>
      <c r="D147" s="231" t="n">
        <f aca="false">IF(L146&lt;&gt;1, IF(G146&lt;E146,0,D146),IF(L146=1,IFERROR(ROUND(IF($G146 - (E146 * 6) &lt; 0, D146, ($G146 - (E146 * 6)) * $D$8 / 12),2),0) ) )</f>
        <v>20.59</v>
      </c>
      <c r="E147" s="231" t="n">
        <f aca="false">IF(ISERROR(A147), 0,  MAX(0,   MIN(    ROUND(G146 + D147, 2),    ROUND(FV($S$5, IF(type=1, A147, A146), , IF(J147&lt;&gt;1, -$D$20, -$P$16 + P147), 2), 0)   )  ) )</f>
        <v>23</v>
      </c>
      <c r="F147" s="231" t="n">
        <f aca="false">IF(J147&lt;&gt;1, "", IF(J146&lt;&gt;0, F146, $K$12))</f>
        <v>1</v>
      </c>
      <c r="G147" s="232" t="n">
        <f aca="false">IF(ISERROR(A147),"",ROUND(G146-E147+D147,2))</f>
        <v>5061.35</v>
      </c>
      <c r="H147" s="233" t="n">
        <f aca="false">IF(G147&gt;0,IFERROR(H146+(H146*($D$16/12)),""),"")</f>
        <v>22.4353506813733</v>
      </c>
      <c r="I147" s="223" t="n">
        <f aca="false">IF(ISERROR(A148),"",12 - MONTH(B147))</f>
        <v>4</v>
      </c>
      <c r="J147" s="224" t="n">
        <f aca="false">K147</f>
        <v>1</v>
      </c>
      <c r="K147" s="225" t="n">
        <f aca="false">_xlfn.IFNA(IF(B147&gt;=$K$11, 1,0),0)</f>
        <v>1</v>
      </c>
      <c r="L147" s="60" t="str">
        <f aca="false">IF(I147=0,1,"")</f>
        <v/>
      </c>
      <c r="P147" s="4" t="n">
        <f aca="false">IF(AND(G147&gt;E147, A147&lt;&gt;0, V147&lt;&gt;0), $N$5 * ($P$22 ^ V147 - 1), 0)</f>
        <v>0</v>
      </c>
      <c r="V147" s="71" t="n">
        <f aca="false">IF(B147&lt;EDATE($K$11,12), 0,  DATEDIF(EDATE($K$11,12), B147 + 1, "y") + 1 )</f>
        <v>5</v>
      </c>
    </row>
    <row r="148" customFormat="false" ht="12.75" hidden="false" customHeight="true" outlineLevel="0" collapsed="false">
      <c r="A148" s="228" t="n">
        <f aca="false">IF(OR(G147="",G147&lt;=0,C147&gt;150),NA(),A147+1)</f>
        <v>120</v>
      </c>
      <c r="B148" s="229" t="n">
        <f aca="false">IF(ISERROR(A148),"",IF($D$9="Annually",EDATE(B147,12),EDATE(B147,1)))</f>
        <v>49946</v>
      </c>
      <c r="C148" s="230" t="n">
        <f aca="false">IF(ISERROR(A148),"",C147+IF($D$9="Monthly",1/12,1))</f>
        <v>71.0499999999997</v>
      </c>
      <c r="D148" s="231" t="n">
        <f aca="false">IF(L147&lt;&gt;1, IF(G147&lt;E147,0,D147),IF(L147=1,IFERROR(ROUND(IF($G147 - (E147 * 6) &lt; 0, D147, ($G147 - (E147 * 6)) * $D$8 / 12),2),0) ) )</f>
        <v>20.59</v>
      </c>
      <c r="E148" s="231" t="n">
        <f aca="false">IF(ISERROR(A148), 0,  MAX(0,   MIN(    ROUND(G147 + D148, 2),    ROUND(FV($S$5, IF(type=1, A148, A147), , IF(J148&lt;&gt;1, -$D$20, -$P$16 + P148), 2), 0)   )  ) )</f>
        <v>23</v>
      </c>
      <c r="F148" s="231" t="n">
        <f aca="false">IF(J148&lt;&gt;1, "", IF(J147&lt;&gt;0, F147, $K$12))</f>
        <v>1</v>
      </c>
      <c r="G148" s="232" t="n">
        <f aca="false">IF(ISERROR(A148),"",ROUND(G147-E148+D148,2))</f>
        <v>5058.94</v>
      </c>
      <c r="H148" s="237" t="n">
        <f aca="false">IF(G148&gt;0,IFERROR(H147+(H147*($D$16/12)),""),"")</f>
        <v>22.4727429325089</v>
      </c>
      <c r="I148" s="223" t="n">
        <f aca="false">IF(ISERROR(A149),"",12 - MONTH(B148))</f>
        <v>3</v>
      </c>
      <c r="J148" s="224" t="n">
        <f aca="false">K148</f>
        <v>1</v>
      </c>
      <c r="K148" s="225" t="n">
        <f aca="false">_xlfn.IFNA(IF(B148&gt;=$K$11, 1,0),0)</f>
        <v>1</v>
      </c>
      <c r="L148" s="60" t="str">
        <f aca="false">IF(I148=0,1,"")</f>
        <v/>
      </c>
      <c r="P148" s="4" t="n">
        <f aca="false">IF(AND(G148&gt;E148, A148&lt;&gt;0, V148&lt;&gt;0), $N$5 * ($P$22 ^ V148 - 1), 0)</f>
        <v>0</v>
      </c>
      <c r="V148" s="71" t="n">
        <f aca="false">IF(B148&lt;EDATE($K$11,12), 0,  DATEDIF(EDATE($K$11,12), B148 + 1, "y") + 1 )</f>
        <v>5</v>
      </c>
    </row>
    <row r="149" customFormat="false" ht="12.75" hidden="false" customHeight="true" outlineLevel="0" collapsed="false">
      <c r="A149" s="228" t="n">
        <f aca="false">IF(OR(G148="",G148&lt;=0,C148&gt;150),NA(),A148+1)</f>
        <v>121</v>
      </c>
      <c r="B149" s="229" t="n">
        <f aca="false">IF(ISERROR(A149),"",IF($D$9="Annually",EDATE(B148,12),EDATE(B148,1)))</f>
        <v>49976</v>
      </c>
      <c r="C149" s="230" t="n">
        <f aca="false">IF(ISERROR(A149),"",C148+IF($D$9="Monthly",1/12,1))</f>
        <v>71.133333333333</v>
      </c>
      <c r="D149" s="231" t="n">
        <f aca="false">IF(L148&lt;&gt;1, IF(G148&lt;E148,0,D148),IF(L148=1,IFERROR(ROUND(IF($G148 - (E148 * 6) &lt; 0, D148, ($G148 - (E148 * 6)) * $D$8 / 12),2),0) ) )</f>
        <v>20.59</v>
      </c>
      <c r="E149" s="231" t="n">
        <f aca="false">IF(ISERROR(A149), 0,  MAX(0,   MIN(    ROUND(G148 + D149, 2),    ROUND(FV($S$5, IF(type=1, A149, A148), , IF(J149&lt;&gt;1, -$D$20, -$P$16 + P149), 2), 0)   )  ) )</f>
        <v>23</v>
      </c>
      <c r="F149" s="231" t="n">
        <f aca="false">IF(J149&lt;&gt;1, "", IF(J148&lt;&gt;0, F148, $K$12))</f>
        <v>1</v>
      </c>
      <c r="G149" s="232" t="n">
        <f aca="false">IF(ISERROR(A149),"",ROUND(G148-E149+D149,2))</f>
        <v>5056.53</v>
      </c>
      <c r="H149" s="233" t="n">
        <f aca="false">IF(G149&gt;0,IFERROR(H148+(H148*($D$16/12)),""),"")</f>
        <v>22.5101975040631</v>
      </c>
      <c r="I149" s="223" t="n">
        <f aca="false">IF(ISERROR(A150),"",12 - MONTH(B149))</f>
        <v>2</v>
      </c>
      <c r="J149" s="224" t="n">
        <f aca="false">K149</f>
        <v>1</v>
      </c>
      <c r="K149" s="225" t="n">
        <f aca="false">_xlfn.IFNA(IF(B149&gt;=$K$11, 1,0),0)</f>
        <v>1</v>
      </c>
      <c r="L149" s="60" t="str">
        <f aca="false">IF(I149=0,1,"")</f>
        <v/>
      </c>
      <c r="P149" s="4" t="n">
        <f aca="false">IF(AND(G149&gt;E149, A149&lt;&gt;0, V149&lt;&gt;0), $N$5 * ($P$22 ^ V149 - 1), 0)</f>
        <v>0</v>
      </c>
      <c r="V149" s="71" t="n">
        <f aca="false">IF(B149&lt;EDATE($K$11,12), 0,  DATEDIF(EDATE($K$11,12), B149 + 1, "y") + 1 )</f>
        <v>5</v>
      </c>
    </row>
    <row r="150" customFormat="false" ht="12.75" hidden="false" customHeight="true" outlineLevel="0" collapsed="false">
      <c r="A150" s="228" t="n">
        <f aca="false">IF(OR(G149="",G149&lt;=0,C149&gt;150),NA(),A149+1)</f>
        <v>122</v>
      </c>
      <c r="B150" s="229" t="n">
        <f aca="false">IF(ISERROR(A150),"",IF($D$9="Annually",EDATE(B149,12),EDATE(B149,1)))</f>
        <v>50007</v>
      </c>
      <c r="C150" s="230" t="n">
        <f aca="false">IF(ISERROR(A150),"",C149+IF($D$9="Monthly",1/12,1))</f>
        <v>71.2166666666663</v>
      </c>
      <c r="D150" s="231" t="n">
        <f aca="false">IF(L149&lt;&gt;1, IF(G149&lt;E149,0,D149),IF(L149=1,IFERROR(ROUND(IF($G149 - (E149 * 6) &lt; 0, D149, ($G149 - (E149 * 6)) * $D$8 / 12),2),0) ) )</f>
        <v>20.59</v>
      </c>
      <c r="E150" s="231" t="n">
        <f aca="false">IF(ISERROR(A150), 0,  MAX(0,   MIN(    ROUND(G149 + D150, 2),    ROUND(FV($S$5, IF(type=1, A150, A149), , IF(J150&lt;&gt;1, -$D$20, -$P$16 + P150), 2), 0)   )  ) )</f>
        <v>23</v>
      </c>
      <c r="F150" s="231" t="n">
        <f aca="false">IF(J150&lt;&gt;1, "", IF(J149&lt;&gt;0, F149, $K$12))</f>
        <v>1</v>
      </c>
      <c r="G150" s="232" t="n">
        <f aca="false">IF(ISERROR(A150),"",ROUND(G149-E150+D150,2))</f>
        <v>5054.12</v>
      </c>
      <c r="H150" s="237" t="n">
        <f aca="false">IF(G150&gt;0,IFERROR(H149+(H149*($D$16/12)),""),"")</f>
        <v>22.5477144999032</v>
      </c>
      <c r="I150" s="223" t="n">
        <f aca="false">IF(ISERROR(A151),"",12 - MONTH(B150))</f>
        <v>1</v>
      </c>
      <c r="J150" s="224" t="n">
        <f aca="false">K150</f>
        <v>1</v>
      </c>
      <c r="K150" s="225" t="n">
        <f aca="false">_xlfn.IFNA(IF(B150&gt;=$K$11, 1,0),0)</f>
        <v>1</v>
      </c>
      <c r="L150" s="60" t="str">
        <f aca="false">IF(I150=0,1,"")</f>
        <v/>
      </c>
      <c r="P150" s="4" t="n">
        <f aca="false">IF(AND(G150&gt;E150, A150&lt;&gt;0, V150&lt;&gt;0), $N$5 * ($P$22 ^ V150 - 1), 0)</f>
        <v>0</v>
      </c>
      <c r="V150" s="71" t="n">
        <f aca="false">IF(B150&lt;EDATE($K$11,12), 0,  DATEDIF(EDATE($K$11,12), B150 + 1, "y") + 1 )</f>
        <v>5</v>
      </c>
    </row>
    <row r="151" customFormat="false" ht="12.75" hidden="false" customHeight="true" outlineLevel="0" collapsed="false">
      <c r="A151" s="228" t="n">
        <f aca="false">IF(OR(G150="",G150&lt;=0,C150&gt;150),NA(),A150+1)</f>
        <v>123</v>
      </c>
      <c r="B151" s="229" t="n">
        <f aca="false">IF(ISERROR(A151),"",IF($D$9="Annually",EDATE(B150,12),EDATE(B150,1)))</f>
        <v>50037</v>
      </c>
      <c r="C151" s="230" t="n">
        <f aca="false">IF(ISERROR(A151),"",C150+IF($D$9="Monthly",1/12,1))</f>
        <v>71.2999999999997</v>
      </c>
      <c r="D151" s="231" t="n">
        <f aca="false">IF(L150&lt;&gt;1, IF(G150&lt;E150,0,D150),IF(L150=1,IFERROR(ROUND(IF($G150 - (E150 * 6) &lt; 0, D150, ($G150 - (E150 * 6)) * $D$8 / 12),2),0) ) )</f>
        <v>20.59</v>
      </c>
      <c r="E151" s="231" t="n">
        <f aca="false">IF(ISERROR(A151), 0,  MAX(0,   MIN(    ROUND(G150 + D151, 2),    ROUND(FV($S$5, IF(type=1, A151, A150), , IF(J151&lt;&gt;1, -$D$20, -$P$16 + P151), 2), 0)   )  ) )</f>
        <v>23</v>
      </c>
      <c r="F151" s="231" t="n">
        <f aca="false">IF(J151&lt;&gt;1, "", IF(J150&lt;&gt;0, F150, $K$12))</f>
        <v>1</v>
      </c>
      <c r="G151" s="232" t="n">
        <f aca="false">IF(ISERROR(A151),"",ROUND(G150-E151+D151,2))</f>
        <v>5051.71</v>
      </c>
      <c r="H151" s="233" t="n">
        <f aca="false">IF(G151&gt;0,IFERROR(H150+(H150*($D$16/12)),""),"")</f>
        <v>22.5852940240697</v>
      </c>
      <c r="I151" s="223" t="n">
        <f aca="false">IF(ISERROR(A152),"",12 - MONTH(B151))</f>
        <v>0</v>
      </c>
      <c r="J151" s="224" t="n">
        <f aca="false">K151</f>
        <v>1</v>
      </c>
      <c r="K151" s="225" t="n">
        <f aca="false">_xlfn.IFNA(IF(B151&gt;=$K$11, 1,0),0)</f>
        <v>1</v>
      </c>
      <c r="L151" s="60" t="n">
        <f aca="false">IF(I151=0,1,"")</f>
        <v>1</v>
      </c>
      <c r="P151" s="4" t="n">
        <f aca="false">IF(AND(G151&gt;E151, A151&lt;&gt;0, V151&lt;&gt;0), $N$5 * ($P$22 ^ V151 - 1), 0)</f>
        <v>0</v>
      </c>
      <c r="V151" s="71" t="n">
        <f aca="false">IF(B151&lt;EDATE($K$11,12), 0,  DATEDIF(EDATE($K$11,12), B151 + 1, "y") + 1 )</f>
        <v>5</v>
      </c>
    </row>
    <row r="152" customFormat="false" ht="12.75" hidden="false" customHeight="true" outlineLevel="0" collapsed="false">
      <c r="A152" s="228" t="n">
        <f aca="false">IF(OR(G151="",G151&lt;=0,C151&gt;150),NA(),A151+1)</f>
        <v>124</v>
      </c>
      <c r="B152" s="229" t="n">
        <f aca="false">IF(ISERROR(A152),"",IF($D$9="Annually",EDATE(B151,12),EDATE(B151,1)))</f>
        <v>50068</v>
      </c>
      <c r="C152" s="230" t="n">
        <f aca="false">IF(ISERROR(A152),"",C151+IF($D$9="Monthly",1/12,1))</f>
        <v>71.383333333333</v>
      </c>
      <c r="D152" s="231" t="n">
        <f aca="false">IF(L151&lt;&gt;1, IF(G151&lt;E151,0,D151),IF(L151=1,IFERROR(ROUND(IF($G151 - (E151 * 6) &lt; 0, D151, ($G151 - (E151 * 6)) * $D$8 / 12),2),0) ) )</f>
        <v>20.47</v>
      </c>
      <c r="E152" s="231" t="n">
        <f aca="false">IF(ISERROR(A152), 0,  MAX(0,   MIN(    ROUND(G151 + D152, 2),    ROUND(FV($S$5, IF(type=1, A152, A151), , IF(J152&lt;&gt;1, -$D$20, -$P$16 + P152), 2), 0)   )  ) )</f>
        <v>23</v>
      </c>
      <c r="F152" s="231" t="n">
        <f aca="false">IF(J152&lt;&gt;1, "", IF(J151&lt;&gt;0, F151, $K$12))</f>
        <v>1</v>
      </c>
      <c r="G152" s="232" t="n">
        <f aca="false">IF(ISERROR(A152),"",ROUND(G151-E152+D152,2))</f>
        <v>5049.18</v>
      </c>
      <c r="H152" s="237" t="n">
        <f aca="false">IF(G152&gt;0,IFERROR(H151+(H151*($D$16/12)),""),"")</f>
        <v>22.6229361807765</v>
      </c>
      <c r="I152" s="223" t="n">
        <f aca="false">IF(ISERROR(A153),"",12 - MONTH(B152))</f>
        <v>11</v>
      </c>
      <c r="J152" s="224" t="n">
        <f aca="false">K152</f>
        <v>1</v>
      </c>
      <c r="K152" s="225" t="n">
        <f aca="false">_xlfn.IFNA(IF(B152&gt;=$K$11, 1,0),0)</f>
        <v>1</v>
      </c>
      <c r="L152" s="60" t="str">
        <f aca="false">IF(I152=0,1,"")</f>
        <v/>
      </c>
      <c r="P152" s="4" t="n">
        <f aca="false">IF(AND(G152&gt;E152, A152&lt;&gt;0, V152&lt;&gt;0), $N$5 * ($P$22 ^ V152 - 1), 0)</f>
        <v>0</v>
      </c>
      <c r="V152" s="71" t="n">
        <f aca="false">IF(B152&lt;EDATE($K$11,12), 0,  DATEDIF(EDATE($K$11,12), B152 + 1, "y") + 1 )</f>
        <v>6</v>
      </c>
    </row>
    <row r="153" customFormat="false" ht="12.75" hidden="false" customHeight="true" outlineLevel="0" collapsed="false">
      <c r="A153" s="228" t="n">
        <f aca="false">IF(OR(G152="",G152&lt;=0,C152&gt;150),NA(),A152+1)</f>
        <v>125</v>
      </c>
      <c r="B153" s="229" t="n">
        <f aca="false">IF(ISERROR(A153),"",IF($D$9="Annually",EDATE(B152,12),EDATE(B152,1)))</f>
        <v>50099</v>
      </c>
      <c r="C153" s="230" t="n">
        <f aca="false">IF(ISERROR(A153),"",C152+IF($D$9="Monthly",1/12,1))</f>
        <v>71.4666666666663</v>
      </c>
      <c r="D153" s="231" t="n">
        <f aca="false">IF(L152&lt;&gt;1, IF(G152&lt;E152,0,D152),IF(L152=1,IFERROR(ROUND(IF($G152 - (E152 * 6) &lt; 0, D152, ($G152 - (E152 * 6)) * $D$8 / 12),2),0) ) )</f>
        <v>20.47</v>
      </c>
      <c r="E153" s="231" t="n">
        <f aca="false">IF(ISERROR(A153), 0,  MAX(0,   MIN(    ROUND(G152 + D153, 2),    ROUND(FV($S$5, IF(type=1, A153, A152), , IF(J153&lt;&gt;1, -$D$20, -$P$16 + P153), 2), 0)   )  ) )</f>
        <v>23</v>
      </c>
      <c r="F153" s="231" t="n">
        <f aca="false">IF(J153&lt;&gt;1, "", IF(J152&lt;&gt;0, F152, $K$12))</f>
        <v>1</v>
      </c>
      <c r="G153" s="232" t="n">
        <f aca="false">IF(ISERROR(A153),"",ROUND(G152-E153+D153,2))</f>
        <v>5046.65</v>
      </c>
      <c r="H153" s="233" t="n">
        <f aca="false">IF(G153&gt;0,IFERROR(H152+(H152*($D$16/12)),""),"")</f>
        <v>22.6606410744111</v>
      </c>
      <c r="I153" s="223" t="n">
        <f aca="false">IF(ISERROR(A154),"",12 - MONTH(B153))</f>
        <v>10</v>
      </c>
      <c r="J153" s="224" t="n">
        <f aca="false">K153</f>
        <v>1</v>
      </c>
      <c r="K153" s="225" t="n">
        <f aca="false">_xlfn.IFNA(IF(B153&gt;=$K$11, 1,0),0)</f>
        <v>1</v>
      </c>
      <c r="L153" s="60" t="str">
        <f aca="false">IF(I153=0,1,"")</f>
        <v/>
      </c>
      <c r="P153" s="4" t="n">
        <f aca="false">IF(AND(G153&gt;E153, A153&lt;&gt;0, V153&lt;&gt;0), $N$5 * ($P$22 ^ V153 - 1), 0)</f>
        <v>0</v>
      </c>
      <c r="V153" s="71" t="n">
        <f aca="false">IF(B153&lt;EDATE($K$11,12), 0,  DATEDIF(EDATE($K$11,12), B153 + 1, "y") + 1 )</f>
        <v>6</v>
      </c>
    </row>
    <row r="154" customFormat="false" ht="12.75" hidden="false" customHeight="true" outlineLevel="0" collapsed="false">
      <c r="A154" s="228" t="n">
        <f aca="false">IF(OR(G153="",G153&lt;=0,C153&gt;150),NA(),A153+1)</f>
        <v>126</v>
      </c>
      <c r="B154" s="229" t="n">
        <f aca="false">IF(ISERROR(A154),"",IF($D$9="Annually",EDATE(B153,12),EDATE(B153,1)))</f>
        <v>50127</v>
      </c>
      <c r="C154" s="230" t="n">
        <f aca="false">IF(ISERROR(A154),"",C153+IF($D$9="Monthly",1/12,1))</f>
        <v>71.5499999999997</v>
      </c>
      <c r="D154" s="231" t="n">
        <f aca="false">IF(L153&lt;&gt;1, IF(G153&lt;E153,0,D153),IF(L153=1,IFERROR(ROUND(IF($G153 - (E153 * 6) &lt; 0, D153, ($G153 - (E153 * 6)) * $D$8 / 12),2),0) ) )</f>
        <v>20.47</v>
      </c>
      <c r="E154" s="231" t="n">
        <f aca="false">IF(ISERROR(A154), 0,  MAX(0,   MIN(    ROUND(G153 + D154, 2),    ROUND(FV($S$5, IF(type=1, A154, A153), , IF(J154&lt;&gt;1, -$D$20, -$P$16 + P154), 2), 0)   )  ) )</f>
        <v>23</v>
      </c>
      <c r="F154" s="231" t="n">
        <f aca="false">IF(J154&lt;&gt;1, "", IF(J153&lt;&gt;0, F153, $K$12))</f>
        <v>1</v>
      </c>
      <c r="G154" s="232" t="n">
        <f aca="false">IF(ISERROR(A154),"",ROUND(G153-E154+D154,2))</f>
        <v>5044.12</v>
      </c>
      <c r="H154" s="237" t="n">
        <f aca="false">IF(G154&gt;0,IFERROR(H153+(H153*($D$16/12)),""),"")</f>
        <v>22.6984088095351</v>
      </c>
      <c r="I154" s="223" t="n">
        <f aca="false">IF(ISERROR(A155),"",12 - MONTH(B154))</f>
        <v>9</v>
      </c>
      <c r="J154" s="224" t="n">
        <f aca="false">K154</f>
        <v>1</v>
      </c>
      <c r="K154" s="225" t="n">
        <f aca="false">_xlfn.IFNA(IF(B154&gt;=$K$11, 1,0),0)</f>
        <v>1</v>
      </c>
      <c r="L154" s="60" t="str">
        <f aca="false">IF(I154=0,1,"")</f>
        <v/>
      </c>
      <c r="P154" s="4" t="n">
        <f aca="false">IF(AND(G154&gt;E154, A154&lt;&gt;0, V154&lt;&gt;0), $N$5 * ($P$22 ^ V154 - 1), 0)</f>
        <v>0</v>
      </c>
      <c r="V154" s="71" t="n">
        <f aca="false">IF(B154&lt;EDATE($K$11,12), 0,  DATEDIF(EDATE($K$11,12), B154 + 1, "y") + 1 )</f>
        <v>6</v>
      </c>
    </row>
    <row r="155" customFormat="false" ht="12.75" hidden="false" customHeight="true" outlineLevel="0" collapsed="false">
      <c r="A155" s="228" t="n">
        <f aca="false">IF(OR(G154="",G154&lt;=0,C154&gt;150),NA(),A154+1)</f>
        <v>127</v>
      </c>
      <c r="B155" s="229" t="n">
        <f aca="false">IF(ISERROR(A155),"",IF($D$9="Annually",EDATE(B154,12),EDATE(B154,1)))</f>
        <v>50158</v>
      </c>
      <c r="C155" s="230" t="n">
        <f aca="false">IF(ISERROR(A155),"",C154+IF($D$9="Monthly",1/12,1))</f>
        <v>71.633333333333</v>
      </c>
      <c r="D155" s="231" t="n">
        <f aca="false">IF(L154&lt;&gt;1, IF(G154&lt;E154,0,D154),IF(L154=1,IFERROR(ROUND(IF($G154 - (E154 * 6) &lt; 0, D154, ($G154 - (E154 * 6)) * $D$8 / 12),2),0) ) )</f>
        <v>20.47</v>
      </c>
      <c r="E155" s="231" t="n">
        <f aca="false">IF(ISERROR(A155), 0,  MAX(0,   MIN(    ROUND(G154 + D155, 2),    ROUND(FV($S$5, IF(type=1, A155, A154), , IF(J155&lt;&gt;1, -$D$20, -$P$16 + P155), 2), 0)   )  ) )</f>
        <v>23</v>
      </c>
      <c r="F155" s="231" t="n">
        <f aca="false">IF(J155&lt;&gt;1, "", IF(J154&lt;&gt;0, F154, $K$12))</f>
        <v>1</v>
      </c>
      <c r="G155" s="232" t="n">
        <f aca="false">IF(ISERROR(A155),"",ROUND(G154-E155+D155,2))</f>
        <v>5041.59</v>
      </c>
      <c r="H155" s="233" t="n">
        <f aca="false">IF(G155&gt;0,IFERROR(H154+(H154*($D$16/12)),""),"")</f>
        <v>22.7362394908843</v>
      </c>
      <c r="I155" s="223" t="n">
        <f aca="false">IF(ISERROR(A156),"",12 - MONTH(B155))</f>
        <v>8</v>
      </c>
      <c r="J155" s="224" t="n">
        <f aca="false">K155</f>
        <v>1</v>
      </c>
      <c r="K155" s="225" t="n">
        <f aca="false">_xlfn.IFNA(IF(B155&gt;=$K$11, 1,0),0)</f>
        <v>1</v>
      </c>
      <c r="L155" s="60" t="str">
        <f aca="false">IF(I155=0,1,"")</f>
        <v/>
      </c>
      <c r="P155" s="4" t="n">
        <f aca="false">IF(AND(G155&gt;E155, A155&lt;&gt;0, V155&lt;&gt;0), $N$5 * ($P$22 ^ V155 - 1), 0)</f>
        <v>0</v>
      </c>
      <c r="V155" s="71" t="n">
        <f aca="false">IF(B155&lt;EDATE($K$11,12), 0,  DATEDIF(EDATE($K$11,12), B155 + 1, "y") + 1 )</f>
        <v>6</v>
      </c>
    </row>
    <row r="156" customFormat="false" ht="12.75" hidden="false" customHeight="true" outlineLevel="0" collapsed="false">
      <c r="A156" s="228" t="n">
        <f aca="false">IF(OR(G155="",G155&lt;=0,C155&gt;150),NA(),A155+1)</f>
        <v>128</v>
      </c>
      <c r="B156" s="229" t="n">
        <f aca="false">IF(ISERROR(A156),"",IF($D$9="Annually",EDATE(B155,12),EDATE(B155,1)))</f>
        <v>50188</v>
      </c>
      <c r="C156" s="230" t="n">
        <f aca="false">IF(ISERROR(A156),"",C155+IF($D$9="Monthly",1/12,1))</f>
        <v>71.7166666666663</v>
      </c>
      <c r="D156" s="231" t="n">
        <f aca="false">IF(L155&lt;&gt;1, IF(G155&lt;E155,0,D155),IF(L155=1,IFERROR(ROUND(IF($G155 - (E155 * 6) &lt; 0, D155, ($G155 - (E155 * 6)) * $D$8 / 12),2),0) ) )</f>
        <v>20.47</v>
      </c>
      <c r="E156" s="231" t="n">
        <f aca="false">IF(ISERROR(A156), 0,  MAX(0,   MIN(    ROUND(G155 + D156, 2),    ROUND(FV($S$5, IF(type=1, A156, A155), , IF(J156&lt;&gt;1, -$D$20, -$P$16 + P156), 2), 0)   )  ) )</f>
        <v>23</v>
      </c>
      <c r="F156" s="231" t="n">
        <f aca="false">IF(J156&lt;&gt;1, "", IF(J155&lt;&gt;0, F155, $K$12))</f>
        <v>1</v>
      </c>
      <c r="G156" s="232" t="n">
        <f aca="false">IF(ISERROR(A156),"",ROUND(G155-E156+D156,2))</f>
        <v>5039.06</v>
      </c>
      <c r="H156" s="237" t="n">
        <f aca="false">IF(G156&gt;0,IFERROR(H155+(H155*($D$16/12)),""),"")</f>
        <v>22.7741332233691</v>
      </c>
      <c r="I156" s="223" t="n">
        <f aca="false">IF(ISERROR(A157),"",12 - MONTH(B156))</f>
        <v>7</v>
      </c>
      <c r="J156" s="224" t="n">
        <f aca="false">K156</f>
        <v>1</v>
      </c>
      <c r="K156" s="225" t="n">
        <f aca="false">_xlfn.IFNA(IF(B156&gt;=$K$11, 1,0),0)</f>
        <v>1</v>
      </c>
      <c r="L156" s="60" t="str">
        <f aca="false">IF(I156=0,1,"")</f>
        <v/>
      </c>
      <c r="P156" s="4" t="n">
        <f aca="false">IF(AND(G156&gt;E156, A156&lt;&gt;0, V156&lt;&gt;0), $N$5 * ($P$22 ^ V156 - 1), 0)</f>
        <v>0</v>
      </c>
      <c r="V156" s="71" t="n">
        <f aca="false">IF(B156&lt;EDATE($K$11,12), 0,  DATEDIF(EDATE($K$11,12), B156 + 1, "y") + 1 )</f>
        <v>6</v>
      </c>
    </row>
    <row r="157" customFormat="false" ht="12.75" hidden="false" customHeight="true" outlineLevel="0" collapsed="false">
      <c r="A157" s="228" t="n">
        <f aca="false">IF(OR(G156="",G156&lt;=0,C156&gt;150),NA(),A156+1)</f>
        <v>129</v>
      </c>
      <c r="B157" s="229" t="n">
        <f aca="false">IF(ISERROR(A157),"",IF($D$9="Annually",EDATE(B156,12),EDATE(B156,1)))</f>
        <v>50219</v>
      </c>
      <c r="C157" s="230" t="n">
        <f aca="false">IF(ISERROR(A157),"",C156+IF($D$9="Monthly",1/12,1))</f>
        <v>71.7999999999996</v>
      </c>
      <c r="D157" s="231" t="n">
        <f aca="false">IF(L156&lt;&gt;1, IF(G156&lt;E156,0,D156),IF(L156=1,IFERROR(ROUND(IF($G156 - (E156 * 6) &lt; 0, D156, ($G156 - (E156 * 6)) * $D$8 / 12),2),0) ) )</f>
        <v>20.47</v>
      </c>
      <c r="E157" s="231" t="n">
        <f aca="false">IF(ISERROR(A157), 0,  MAX(0,   MIN(    ROUND(G156 + D157, 2),    ROUND(FV($S$5, IF(type=1, A157, A156), , IF(J157&lt;&gt;1, -$D$20, -$P$16 + P157), 2), 0)   )  ) )</f>
        <v>23</v>
      </c>
      <c r="F157" s="231" t="n">
        <f aca="false">IF(J157&lt;&gt;1, "", IF(J156&lt;&gt;0, F156, $K$12))</f>
        <v>1</v>
      </c>
      <c r="G157" s="232" t="n">
        <f aca="false">IF(ISERROR(A157),"",ROUND(G156-E157+D157,2))</f>
        <v>5036.53</v>
      </c>
      <c r="H157" s="233" t="n">
        <f aca="false">IF(G157&gt;0,IFERROR(H156+(H156*($D$16/12)),""),"")</f>
        <v>22.8120901120747</v>
      </c>
      <c r="I157" s="223" t="n">
        <f aca="false">IF(ISERROR(A158),"",12 - MONTH(B157))</f>
        <v>6</v>
      </c>
      <c r="J157" s="224" t="n">
        <f aca="false">K157</f>
        <v>1</v>
      </c>
      <c r="K157" s="225" t="n">
        <f aca="false">_xlfn.IFNA(IF(B157&gt;=$K$11, 1,0),0)</f>
        <v>1</v>
      </c>
      <c r="L157" s="60" t="str">
        <f aca="false">IF(I157=0,1,"")</f>
        <v/>
      </c>
      <c r="P157" s="4" t="n">
        <f aca="false">IF(AND(G157&gt;E157, A157&lt;&gt;0, V157&lt;&gt;0), $N$5 * ($P$22 ^ V157 - 1), 0)</f>
        <v>0</v>
      </c>
      <c r="V157" s="71" t="n">
        <f aca="false">IF(B157&lt;EDATE($K$11,12), 0,  DATEDIF(EDATE($K$11,12), B157 + 1, "y") + 1 )</f>
        <v>6</v>
      </c>
    </row>
    <row r="158" customFormat="false" ht="12.75" hidden="false" customHeight="true" outlineLevel="0" collapsed="false">
      <c r="A158" s="228" t="n">
        <f aca="false">IF(OR(G157="",G157&lt;=0,C157&gt;150),NA(),A157+1)</f>
        <v>130</v>
      </c>
      <c r="B158" s="229" t="n">
        <f aca="false">IF(ISERROR(A158),"",IF($D$9="Annually",EDATE(B157,12),EDATE(B157,1)))</f>
        <v>50249</v>
      </c>
      <c r="C158" s="230" t="n">
        <f aca="false">IF(ISERROR(A158),"",C157+IF($D$9="Monthly",1/12,1))</f>
        <v>71.883333333333</v>
      </c>
      <c r="D158" s="231" t="n">
        <f aca="false">IF(L157&lt;&gt;1, IF(G157&lt;E157,0,D157),IF(L157=1,IFERROR(ROUND(IF($G157 - (E157 * 6) &lt; 0, D157, ($G157 - (E157 * 6)) * $D$8 / 12),2),0) ) )</f>
        <v>20.47</v>
      </c>
      <c r="E158" s="231" t="n">
        <f aca="false">IF(ISERROR(A158), 0,  MAX(0,   MIN(    ROUND(G157 + D158, 2),    ROUND(FV($S$5, IF(type=1, A158, A157), , IF(J158&lt;&gt;1, -$D$20, -$P$16 + P158), 2), 0)   )  ) )</f>
        <v>23</v>
      </c>
      <c r="F158" s="231" t="n">
        <f aca="false">IF(J158&lt;&gt;1, "", IF(J157&lt;&gt;0, F157, $K$12))</f>
        <v>1</v>
      </c>
      <c r="G158" s="232" t="n">
        <f aca="false">IF(ISERROR(A158),"",ROUND(G157-E158+D158,2))</f>
        <v>5034</v>
      </c>
      <c r="H158" s="237" t="n">
        <f aca="false">IF(G158&gt;0,IFERROR(H157+(H157*($D$16/12)),""),"")</f>
        <v>22.8501102622615</v>
      </c>
      <c r="I158" s="223" t="n">
        <f aca="false">IF(ISERROR(A159),"",12 - MONTH(B158))</f>
        <v>5</v>
      </c>
      <c r="J158" s="224" t="n">
        <f aca="false">K158</f>
        <v>1</v>
      </c>
      <c r="K158" s="225" t="n">
        <f aca="false">_xlfn.IFNA(IF(B158&gt;=$K$11, 1,0),0)</f>
        <v>1</v>
      </c>
      <c r="L158" s="60" t="str">
        <f aca="false">IF(I158=0,1,"")</f>
        <v/>
      </c>
      <c r="P158" s="4" t="n">
        <f aca="false">IF(AND(G158&gt;E158, A158&lt;&gt;0, V158&lt;&gt;0), $N$5 * ($P$22 ^ V158 - 1), 0)</f>
        <v>0</v>
      </c>
      <c r="V158" s="71" t="n">
        <f aca="false">IF(B158&lt;EDATE($K$11,12), 0,  DATEDIF(EDATE($K$11,12), B158 + 1, "y") + 1 )</f>
        <v>6</v>
      </c>
    </row>
    <row r="159" customFormat="false" ht="12.75" hidden="false" customHeight="true" outlineLevel="0" collapsed="false">
      <c r="A159" s="228" t="n">
        <f aca="false">IF(OR(G158="",G158&lt;=0,C158&gt;150),NA(),A158+1)</f>
        <v>131</v>
      </c>
      <c r="B159" s="229" t="n">
        <f aca="false">IF(ISERROR(A159),"",IF($D$9="Annually",EDATE(B158,12),EDATE(B158,1)))</f>
        <v>50280</v>
      </c>
      <c r="C159" s="230" t="n">
        <f aca="false">IF(ISERROR(A159),"",C158+IF($D$9="Monthly",1/12,1))</f>
        <v>71.9666666666663</v>
      </c>
      <c r="D159" s="231" t="n">
        <f aca="false">IF(L158&lt;&gt;1, IF(G158&lt;E158,0,D158),IF(L158=1,IFERROR(ROUND(IF($G158 - (E158 * 6) &lt; 0, D158, ($G158 - (E158 * 6)) * $D$8 / 12),2),0) ) )</f>
        <v>20.47</v>
      </c>
      <c r="E159" s="231" t="n">
        <f aca="false">IF(ISERROR(A159), 0,  MAX(0,   MIN(    ROUND(G158 + D159, 2),    ROUND(FV($S$5, IF(type=1, A159, A158), , IF(J159&lt;&gt;1, -$D$20, -$P$16 + P159), 2), 0)   )  ) )</f>
        <v>23</v>
      </c>
      <c r="F159" s="231" t="n">
        <f aca="false">IF(J159&lt;&gt;1, "", IF(J158&lt;&gt;0, F158, $K$12))</f>
        <v>1</v>
      </c>
      <c r="G159" s="232" t="n">
        <f aca="false">IF(ISERROR(A159),"",ROUND(G158-E159+D159,2))</f>
        <v>5031.47</v>
      </c>
      <c r="H159" s="233" t="n">
        <f aca="false">IF(G159&gt;0,IFERROR(H158+(H158*($D$16/12)),""),"")</f>
        <v>22.8881937793653</v>
      </c>
      <c r="I159" s="223" t="n">
        <f aca="false">IF(ISERROR(A160),"",12 - MONTH(B159))</f>
        <v>4</v>
      </c>
      <c r="J159" s="224" t="n">
        <f aca="false">K159</f>
        <v>1</v>
      </c>
      <c r="K159" s="225" t="n">
        <f aca="false">_xlfn.IFNA(IF(B159&gt;=$K$11, 1,0),0)</f>
        <v>1</v>
      </c>
      <c r="L159" s="60" t="str">
        <f aca="false">IF(I159=0,1,"")</f>
        <v/>
      </c>
      <c r="P159" s="4" t="n">
        <f aca="false">IF(AND(G159&gt;E159, A159&lt;&gt;0, V159&lt;&gt;0), $N$5 * ($P$22 ^ V159 - 1), 0)</f>
        <v>0</v>
      </c>
      <c r="V159" s="71" t="n">
        <f aca="false">IF(B159&lt;EDATE($K$11,12), 0,  DATEDIF(EDATE($K$11,12), B159 + 1, "y") + 1 )</f>
        <v>6</v>
      </c>
    </row>
    <row r="160" customFormat="false" ht="12.75" hidden="false" customHeight="true" outlineLevel="0" collapsed="false">
      <c r="A160" s="228" t="n">
        <f aca="false">IF(OR(G159="",G159&lt;=0,C159&gt;150),NA(),A159+1)</f>
        <v>132</v>
      </c>
      <c r="B160" s="229" t="n">
        <f aca="false">IF(ISERROR(A160),"",IF($D$9="Annually",EDATE(B159,12),EDATE(B159,1)))</f>
        <v>50311</v>
      </c>
      <c r="C160" s="230" t="n">
        <f aca="false">IF(ISERROR(A160),"",C159+IF($D$9="Monthly",1/12,1))</f>
        <v>72.0499999999996</v>
      </c>
      <c r="D160" s="231" t="n">
        <f aca="false">IF(L159&lt;&gt;1, IF(G159&lt;E159,0,D159),IF(L159=1,IFERROR(ROUND(IF($G159 - (E159 * 6) &lt; 0, D159, ($G159 - (E159 * 6)) * $D$8 / 12),2),0) ) )</f>
        <v>20.47</v>
      </c>
      <c r="E160" s="231" t="n">
        <f aca="false">IF(ISERROR(A160), 0,  MAX(0,   MIN(    ROUND(G159 + D160, 2),    ROUND(FV($S$5, IF(type=1, A160, A159), , IF(J160&lt;&gt;1, -$D$20, -$P$16 + P160), 2), 0)   )  ) )</f>
        <v>23</v>
      </c>
      <c r="F160" s="231" t="n">
        <f aca="false">IF(J160&lt;&gt;1, "", IF(J159&lt;&gt;0, F159, $K$12))</f>
        <v>1</v>
      </c>
      <c r="G160" s="232" t="n">
        <f aca="false">IF(ISERROR(A160),"",ROUND(G159-E160+D160,2))</f>
        <v>5028.94</v>
      </c>
      <c r="H160" s="237" t="n">
        <f aca="false">IF(G160&gt;0,IFERROR(H159+(H159*($D$16/12)),""),"")</f>
        <v>22.9263407689976</v>
      </c>
      <c r="I160" s="223" t="n">
        <f aca="false">IF(ISERROR(A161),"",12 - MONTH(B160))</f>
        <v>3</v>
      </c>
      <c r="J160" s="224" t="n">
        <f aca="false">K160</f>
        <v>1</v>
      </c>
      <c r="K160" s="225" t="n">
        <f aca="false">_xlfn.IFNA(IF(B160&gt;=$K$11, 1,0),0)</f>
        <v>1</v>
      </c>
      <c r="L160" s="60" t="str">
        <f aca="false">IF(I160=0,1,"")</f>
        <v/>
      </c>
      <c r="P160" s="4" t="n">
        <f aca="false">IF(AND(G160&gt;E160, A160&lt;&gt;0, V160&lt;&gt;0), $N$5 * ($P$22 ^ V160 - 1), 0)</f>
        <v>0</v>
      </c>
      <c r="V160" s="71" t="n">
        <f aca="false">IF(B160&lt;EDATE($K$11,12), 0,  DATEDIF(EDATE($K$11,12), B160 + 1, "y") + 1 )</f>
        <v>6</v>
      </c>
    </row>
    <row r="161" customFormat="false" ht="12.75" hidden="false" customHeight="true" outlineLevel="0" collapsed="false">
      <c r="A161" s="228" t="n">
        <f aca="false">IF(OR(G160="",G160&lt;=0,C160&gt;150),NA(),A160+1)</f>
        <v>133</v>
      </c>
      <c r="B161" s="229" t="n">
        <f aca="false">IF(ISERROR(A161),"",IF($D$9="Annually",EDATE(B160,12),EDATE(B160,1)))</f>
        <v>50341</v>
      </c>
      <c r="C161" s="230" t="n">
        <f aca="false">IF(ISERROR(A161),"",C160+IF($D$9="Monthly",1/12,1))</f>
        <v>72.133333333333</v>
      </c>
      <c r="D161" s="231" t="n">
        <f aca="false">IF(L160&lt;&gt;1, IF(G160&lt;E160,0,D160),IF(L160=1,IFERROR(ROUND(IF($G160 - (E160 * 6) &lt; 0, D160, ($G160 - (E160 * 6)) * $D$8 / 12),2),0) ) )</f>
        <v>20.47</v>
      </c>
      <c r="E161" s="231" t="n">
        <f aca="false">IF(ISERROR(A161), 0,  MAX(0,   MIN(    ROUND(G160 + D161, 2),    ROUND(FV($S$5, IF(type=1, A161, A160), , IF(J161&lt;&gt;1, -$D$20, -$P$16 + P161), 2), 0)   )  ) )</f>
        <v>23</v>
      </c>
      <c r="F161" s="231" t="n">
        <f aca="false">IF(J161&lt;&gt;1, "", IF(J160&lt;&gt;0, F160, $K$12))</f>
        <v>1</v>
      </c>
      <c r="G161" s="232" t="n">
        <f aca="false">IF(ISERROR(A161),"",ROUND(G160-E161+D161,2))</f>
        <v>5026.41</v>
      </c>
      <c r="H161" s="233" t="n">
        <f aca="false">IF(G161&gt;0,IFERROR(H160+(H160*($D$16/12)),""),"")</f>
        <v>22.9645513369459</v>
      </c>
      <c r="I161" s="223" t="n">
        <f aca="false">IF(ISERROR(A162),"",12 - MONTH(B161))</f>
        <v>2</v>
      </c>
      <c r="J161" s="224" t="n">
        <f aca="false">K161</f>
        <v>1</v>
      </c>
      <c r="K161" s="225" t="n">
        <f aca="false">_xlfn.IFNA(IF(B161&gt;=$K$11, 1,0),0)</f>
        <v>1</v>
      </c>
      <c r="L161" s="60" t="str">
        <f aca="false">IF(I161=0,1,"")</f>
        <v/>
      </c>
      <c r="P161" s="4" t="n">
        <f aca="false">IF(AND(G161&gt;E161, A161&lt;&gt;0, V161&lt;&gt;0), $N$5 * ($P$22 ^ V161 - 1), 0)</f>
        <v>0</v>
      </c>
      <c r="V161" s="71" t="n">
        <f aca="false">IF(B161&lt;EDATE($K$11,12), 0,  DATEDIF(EDATE($K$11,12), B161 + 1, "y") + 1 )</f>
        <v>6</v>
      </c>
    </row>
    <row r="162" customFormat="false" ht="12.75" hidden="false" customHeight="true" outlineLevel="0" collapsed="false">
      <c r="A162" s="228" t="n">
        <f aca="false">IF(OR(G161="",G161&lt;=0,C161&gt;150),NA(),A161+1)</f>
        <v>134</v>
      </c>
      <c r="B162" s="229" t="n">
        <f aca="false">IF(ISERROR(A162),"",IF($D$9="Annually",EDATE(B161,12),EDATE(B161,1)))</f>
        <v>50372</v>
      </c>
      <c r="C162" s="230" t="n">
        <f aca="false">IF(ISERROR(A162),"",C161+IF($D$9="Monthly",1/12,1))</f>
        <v>72.2166666666663</v>
      </c>
      <c r="D162" s="231" t="n">
        <f aca="false">IF(L161&lt;&gt;1, IF(G161&lt;E161,0,D161),IF(L161=1,IFERROR(ROUND(IF($G161 - (E161 * 6) &lt; 0, D161, ($G161 - (E161 * 6)) * $D$8 / 12),2),0) ) )</f>
        <v>20.47</v>
      </c>
      <c r="E162" s="231" t="n">
        <f aca="false">IF(ISERROR(A162), 0,  MAX(0,   MIN(    ROUND(G161 + D162, 2),    ROUND(FV($S$5, IF(type=1, A162, A161), , IF(J162&lt;&gt;1, -$D$20, -$P$16 + P162), 2), 0)   )  ) )</f>
        <v>23</v>
      </c>
      <c r="F162" s="231" t="n">
        <f aca="false">IF(J162&lt;&gt;1, "", IF(J161&lt;&gt;0, F161, $K$12))</f>
        <v>1</v>
      </c>
      <c r="G162" s="232" t="n">
        <f aca="false">IF(ISERROR(A162),"",ROUND(G161-E162+D162,2))</f>
        <v>5023.88</v>
      </c>
      <c r="H162" s="237" t="n">
        <f aca="false">IF(G162&gt;0,IFERROR(H161+(H161*($D$16/12)),""),"")</f>
        <v>23.0028255891742</v>
      </c>
      <c r="I162" s="223" t="n">
        <f aca="false">IF(ISERROR(A163),"",12 - MONTH(B162))</f>
        <v>1</v>
      </c>
      <c r="J162" s="224" t="n">
        <f aca="false">K162</f>
        <v>1</v>
      </c>
      <c r="K162" s="225" t="n">
        <f aca="false">_xlfn.IFNA(IF(B162&gt;=$K$11, 1,0),0)</f>
        <v>1</v>
      </c>
      <c r="L162" s="60" t="str">
        <f aca="false">IF(I162=0,1,"")</f>
        <v/>
      </c>
      <c r="P162" s="4" t="n">
        <f aca="false">IF(AND(G162&gt;E162, A162&lt;&gt;0, V162&lt;&gt;0), $N$5 * ($P$22 ^ V162 - 1), 0)</f>
        <v>0</v>
      </c>
      <c r="V162" s="71" t="n">
        <f aca="false">IF(B162&lt;EDATE($K$11,12), 0,  DATEDIF(EDATE($K$11,12), B162 + 1, "y") + 1 )</f>
        <v>6</v>
      </c>
    </row>
    <row r="163" customFormat="false" ht="12.75" hidden="false" customHeight="true" outlineLevel="0" collapsed="false">
      <c r="A163" s="228" t="n">
        <f aca="false">IF(OR(G162="",G162&lt;=0,C162&gt;150),NA(),A162+1)</f>
        <v>135</v>
      </c>
      <c r="B163" s="229" t="n">
        <f aca="false">IF(ISERROR(A163),"",IF($D$9="Annually",EDATE(B162,12),EDATE(B162,1)))</f>
        <v>50402</v>
      </c>
      <c r="C163" s="230" t="n">
        <f aca="false">IF(ISERROR(A163),"",C162+IF($D$9="Monthly",1/12,1))</f>
        <v>72.2999999999996</v>
      </c>
      <c r="D163" s="231" t="n">
        <f aca="false">IF(L162&lt;&gt;1, IF(G162&lt;E162,0,D162),IF(L162=1,IFERROR(ROUND(IF($G162 - (E162 * 6) &lt; 0, D162, ($G162 - (E162 * 6)) * $D$8 / 12),2),0) ) )</f>
        <v>20.47</v>
      </c>
      <c r="E163" s="231" t="n">
        <f aca="false">IF(ISERROR(A163), 0,  MAX(0,   MIN(    ROUND(G162 + D163, 2),    ROUND(FV($S$5, IF(type=1, A163, A162), , IF(J163&lt;&gt;1, -$D$20, -$P$16 + P163), 2), 0)   )  ) )</f>
        <v>23</v>
      </c>
      <c r="F163" s="231" t="n">
        <f aca="false">IF(J163&lt;&gt;1, "", IF(J162&lt;&gt;0, F162, $K$12))</f>
        <v>1</v>
      </c>
      <c r="G163" s="232" t="n">
        <f aca="false">IF(ISERROR(A163),"",ROUND(G162-E163+D163,2))</f>
        <v>5021.35</v>
      </c>
      <c r="H163" s="233" t="n">
        <f aca="false">IF(G163&gt;0,IFERROR(H162+(H162*($D$16/12)),""),"")</f>
        <v>23.0411636318228</v>
      </c>
      <c r="I163" s="223" t="n">
        <f aca="false">IF(ISERROR(A164),"",12 - MONTH(B163))</f>
        <v>0</v>
      </c>
      <c r="J163" s="224" t="n">
        <f aca="false">K163</f>
        <v>1</v>
      </c>
      <c r="K163" s="225" t="n">
        <f aca="false">_xlfn.IFNA(IF(B163&gt;=$K$11, 1,0),0)</f>
        <v>1</v>
      </c>
      <c r="L163" s="60" t="n">
        <f aca="false">IF(I163=0,1,"")</f>
        <v>1</v>
      </c>
      <c r="P163" s="4" t="n">
        <f aca="false">IF(AND(G163&gt;E163, A163&lt;&gt;0, V163&lt;&gt;0), $N$5 * ($P$22 ^ V163 - 1), 0)</f>
        <v>0</v>
      </c>
      <c r="V163" s="71" t="n">
        <f aca="false">IF(B163&lt;EDATE($K$11,12), 0,  DATEDIF(EDATE($K$11,12), B163 + 1, "y") + 1 )</f>
        <v>6</v>
      </c>
    </row>
    <row r="164" customFormat="false" ht="12.75" hidden="false" customHeight="true" outlineLevel="0" collapsed="false">
      <c r="A164" s="228" t="n">
        <f aca="false">IF(OR(G163="",G163&lt;=0,C163&gt;150),NA(),A163+1)</f>
        <v>136</v>
      </c>
      <c r="B164" s="229" t="n">
        <f aca="false">IF(ISERROR(A164),"",IF($D$9="Annually",EDATE(B163,12),EDATE(B163,1)))</f>
        <v>50433</v>
      </c>
      <c r="C164" s="230" t="n">
        <f aca="false">IF(ISERROR(A164),"",C163+IF($D$9="Monthly",1/12,1))</f>
        <v>72.3833333333329</v>
      </c>
      <c r="D164" s="231" t="n">
        <f aca="false">IF(L163&lt;&gt;1, IF(G163&lt;E163,0,D163),IF(L163=1,IFERROR(ROUND(IF($G163 - (E163 * 6) &lt; 0, D163, ($G163 - (E163 * 6)) * $D$8 / 12),2),0) ) )</f>
        <v>20.35</v>
      </c>
      <c r="E164" s="231" t="n">
        <f aca="false">IF(ISERROR(A164), 0,  MAX(0,   MIN(    ROUND(G163 + D164, 2),    ROUND(FV($S$5, IF(type=1, A164, A163), , IF(J164&lt;&gt;1, -$D$20, -$P$16 + P164), 2), 0)   )  ) )</f>
        <v>24</v>
      </c>
      <c r="F164" s="231" t="n">
        <f aca="false">IF(J164&lt;&gt;1, "", IF(J163&lt;&gt;0, F163, $K$12))</f>
        <v>1</v>
      </c>
      <c r="G164" s="232" t="n">
        <f aca="false">IF(ISERROR(A164),"",ROUND(G163-E164+D164,2))</f>
        <v>5017.7</v>
      </c>
      <c r="H164" s="237" t="n">
        <f aca="false">IF(G164&gt;0,IFERROR(H163+(H163*($D$16/12)),""),"")</f>
        <v>23.0795655712091</v>
      </c>
      <c r="I164" s="223" t="n">
        <f aca="false">IF(ISERROR(A165),"",12 - MONTH(B164))</f>
        <v>11</v>
      </c>
      <c r="J164" s="224" t="n">
        <f aca="false">K164</f>
        <v>1</v>
      </c>
      <c r="K164" s="225" t="n">
        <f aca="false">_xlfn.IFNA(IF(B164&gt;=$K$11, 1,0),0)</f>
        <v>1</v>
      </c>
      <c r="L164" s="60" t="str">
        <f aca="false">IF(I164=0,1,"")</f>
        <v/>
      </c>
      <c r="P164" s="4" t="n">
        <f aca="false">IF(AND(G164&gt;E164, A164&lt;&gt;0, V164&lt;&gt;0), $N$5 * ($P$22 ^ V164 - 1), 0)</f>
        <v>0</v>
      </c>
      <c r="V164" s="71" t="n">
        <f aca="false">IF(B164&lt;EDATE($K$11,12), 0,  DATEDIF(EDATE($K$11,12), B164 + 1, "y") + 1 )</f>
        <v>7</v>
      </c>
    </row>
    <row r="165" customFormat="false" ht="12.75" hidden="false" customHeight="true" outlineLevel="0" collapsed="false">
      <c r="A165" s="228" t="n">
        <f aca="false">IF(OR(G164="",G164&lt;=0,C164&gt;150),NA(),A164+1)</f>
        <v>137</v>
      </c>
      <c r="B165" s="229" t="n">
        <f aca="false">IF(ISERROR(A165),"",IF($D$9="Annually",EDATE(B164,12),EDATE(B164,1)))</f>
        <v>50464</v>
      </c>
      <c r="C165" s="230" t="n">
        <f aca="false">IF(ISERROR(A165),"",C164+IF($D$9="Monthly",1/12,1))</f>
        <v>72.4666666666663</v>
      </c>
      <c r="D165" s="231" t="n">
        <f aca="false">IF(L164&lt;&gt;1, IF(G164&lt;E164,0,D164),IF(L164=1,IFERROR(ROUND(IF($G164 - (E164 * 6) &lt; 0, D164, ($G164 - (E164 * 6)) * $D$8 / 12),2),0) ) )</f>
        <v>20.35</v>
      </c>
      <c r="E165" s="231" t="n">
        <f aca="false">IF(ISERROR(A165), 0,  MAX(0,   MIN(    ROUND(G164 + D165, 2),    ROUND(FV($S$5, IF(type=1, A165, A164), , IF(J165&lt;&gt;1, -$D$20, -$P$16 + P165), 2), 0)   )  ) )</f>
        <v>24</v>
      </c>
      <c r="F165" s="231" t="n">
        <f aca="false">IF(J165&lt;&gt;1, "", IF(J164&lt;&gt;0, F164, $K$12))</f>
        <v>1</v>
      </c>
      <c r="G165" s="232" t="n">
        <f aca="false">IF(ISERROR(A165),"",ROUND(G164-E165+D165,2))</f>
        <v>5014.05</v>
      </c>
      <c r="H165" s="233" t="n">
        <f aca="false">IF(G165&gt;0,IFERROR(H164+(H164*($D$16/12)),""),"")</f>
        <v>23.1180315138278</v>
      </c>
      <c r="I165" s="223" t="n">
        <f aca="false">IF(ISERROR(A166),"",12 - MONTH(B165))</f>
        <v>10</v>
      </c>
      <c r="J165" s="224" t="n">
        <f aca="false">K165</f>
        <v>1</v>
      </c>
      <c r="K165" s="225" t="n">
        <f aca="false">_xlfn.IFNA(IF(B165&gt;=$K$11, 1,0),0)</f>
        <v>1</v>
      </c>
      <c r="L165" s="60" t="str">
        <f aca="false">IF(I165=0,1,"")</f>
        <v/>
      </c>
      <c r="P165" s="4" t="n">
        <f aca="false">IF(AND(G165&gt;E165, A165&lt;&gt;0, V165&lt;&gt;0), $N$5 * ($P$22 ^ V165 - 1), 0)</f>
        <v>0</v>
      </c>
      <c r="V165" s="71" t="n">
        <f aca="false">IF(B165&lt;EDATE($K$11,12), 0,  DATEDIF(EDATE($K$11,12), B165 + 1, "y") + 1 )</f>
        <v>7</v>
      </c>
    </row>
    <row r="166" customFormat="false" ht="12.75" hidden="false" customHeight="true" outlineLevel="0" collapsed="false">
      <c r="A166" s="228" t="n">
        <f aca="false">IF(OR(G165="",G165&lt;=0,C165&gt;150),NA(),A165+1)</f>
        <v>138</v>
      </c>
      <c r="B166" s="229" t="n">
        <f aca="false">IF(ISERROR(A166),"",IF($D$9="Annually",EDATE(B165,12),EDATE(B165,1)))</f>
        <v>50492</v>
      </c>
      <c r="C166" s="230" t="n">
        <f aca="false">IF(ISERROR(A166),"",C165+IF($D$9="Monthly",1/12,1))</f>
        <v>72.5499999999996</v>
      </c>
      <c r="D166" s="231" t="n">
        <f aca="false">IF(L165&lt;&gt;1, IF(G165&lt;E165,0,D165),IF(L165=1,IFERROR(ROUND(IF($G165 - (E165 * 6) &lt; 0, D165, ($G165 - (E165 * 6)) * $D$8 / 12),2),0) ) )</f>
        <v>20.35</v>
      </c>
      <c r="E166" s="231" t="n">
        <f aca="false">IF(ISERROR(A166), 0,  MAX(0,   MIN(    ROUND(G165 + D166, 2),    ROUND(FV($S$5, IF(type=1, A166, A165), , IF(J166&lt;&gt;1, -$D$20, -$P$16 + P166), 2), 0)   )  ) )</f>
        <v>24</v>
      </c>
      <c r="F166" s="231" t="n">
        <f aca="false">IF(J166&lt;&gt;1, "", IF(J165&lt;&gt;0, F165, $K$12))</f>
        <v>1</v>
      </c>
      <c r="G166" s="232" t="n">
        <f aca="false">IF(ISERROR(A166),"",ROUND(G165-E166+D166,2))</f>
        <v>5010.4</v>
      </c>
      <c r="H166" s="237" t="n">
        <f aca="false">IF(G166&gt;0,IFERROR(H165+(H165*($D$16/12)),""),"")</f>
        <v>23.1565615663509</v>
      </c>
      <c r="I166" s="223" t="n">
        <f aca="false">IF(ISERROR(A167),"",12 - MONTH(B166))</f>
        <v>9</v>
      </c>
      <c r="J166" s="224" t="n">
        <f aca="false">K166</f>
        <v>1</v>
      </c>
      <c r="K166" s="225" t="n">
        <f aca="false">_xlfn.IFNA(IF(B166&gt;=$K$11, 1,0),0)</f>
        <v>1</v>
      </c>
      <c r="L166" s="60" t="str">
        <f aca="false">IF(I166=0,1,"")</f>
        <v/>
      </c>
      <c r="P166" s="4" t="n">
        <f aca="false">IF(AND(G166&gt;E166, A166&lt;&gt;0, V166&lt;&gt;0), $N$5 * ($P$22 ^ V166 - 1), 0)</f>
        <v>0</v>
      </c>
      <c r="V166" s="71" t="n">
        <f aca="false">IF(B166&lt;EDATE($K$11,12), 0,  DATEDIF(EDATE($K$11,12), B166 + 1, "y") + 1 )</f>
        <v>7</v>
      </c>
    </row>
    <row r="167" customFormat="false" ht="12.75" hidden="false" customHeight="true" outlineLevel="0" collapsed="false">
      <c r="A167" s="228" t="n">
        <f aca="false">IF(OR(G166="",G166&lt;=0,C166&gt;150),NA(),A166+1)</f>
        <v>139</v>
      </c>
      <c r="B167" s="229" t="n">
        <f aca="false">IF(ISERROR(A167),"",IF($D$9="Annually",EDATE(B166,12),EDATE(B166,1)))</f>
        <v>50523</v>
      </c>
      <c r="C167" s="230" t="n">
        <f aca="false">IF(ISERROR(A167),"",C166+IF($D$9="Monthly",1/12,1))</f>
        <v>72.6333333333329</v>
      </c>
      <c r="D167" s="231" t="n">
        <f aca="false">IF(L166&lt;&gt;1, IF(G166&lt;E166,0,D166),IF(L166=1,IFERROR(ROUND(IF($G166 - (E166 * 6) &lt; 0, D166, ($G166 - (E166 * 6)) * $D$8 / 12),2),0) ) )</f>
        <v>20.35</v>
      </c>
      <c r="E167" s="231" t="n">
        <f aca="false">IF(ISERROR(A167), 0,  MAX(0,   MIN(    ROUND(G166 + D167, 2),    ROUND(FV($S$5, IF(type=1, A167, A166), , IF(J167&lt;&gt;1, -$D$20, -$P$16 + P167), 2), 0)   )  ) )</f>
        <v>24</v>
      </c>
      <c r="F167" s="231" t="n">
        <f aca="false">IF(J167&lt;&gt;1, "", IF(J166&lt;&gt;0, F166, $K$12))</f>
        <v>1</v>
      </c>
      <c r="G167" s="232" t="n">
        <f aca="false">IF(ISERROR(A167),"",ROUND(G166-E167+D167,2))</f>
        <v>5006.75</v>
      </c>
      <c r="H167" s="233" t="n">
        <f aca="false">IF(G167&gt;0,IFERROR(H166+(H166*($D$16/12)),""),"")</f>
        <v>23.1951558356281</v>
      </c>
      <c r="I167" s="223" t="n">
        <f aca="false">IF(ISERROR(A168),"",12 - MONTH(B167))</f>
        <v>8</v>
      </c>
      <c r="J167" s="224" t="n">
        <f aca="false">K167</f>
        <v>1</v>
      </c>
      <c r="K167" s="225" t="n">
        <f aca="false">_xlfn.IFNA(IF(B167&gt;=$K$11, 1,0),0)</f>
        <v>1</v>
      </c>
      <c r="L167" s="60" t="str">
        <f aca="false">IF(I167=0,1,"")</f>
        <v/>
      </c>
      <c r="P167" s="4" t="n">
        <f aca="false">IF(AND(G167&gt;E167, A167&lt;&gt;0, V167&lt;&gt;0), $N$5 * ($P$22 ^ V167 - 1), 0)</f>
        <v>0</v>
      </c>
      <c r="V167" s="71" t="n">
        <f aca="false">IF(B167&lt;EDATE($K$11,12), 0,  DATEDIF(EDATE($K$11,12), B167 + 1, "y") + 1 )</f>
        <v>7</v>
      </c>
    </row>
    <row r="168" customFormat="false" ht="12.75" hidden="false" customHeight="true" outlineLevel="0" collapsed="false">
      <c r="A168" s="228" t="n">
        <f aca="false">IF(OR(G167="",G167&lt;=0,C167&gt;150),NA(),A167+1)</f>
        <v>140</v>
      </c>
      <c r="B168" s="229" t="n">
        <f aca="false">IF(ISERROR(A168),"",IF($D$9="Annually",EDATE(B167,12),EDATE(B167,1)))</f>
        <v>50553</v>
      </c>
      <c r="C168" s="230" t="n">
        <f aca="false">IF(ISERROR(A168),"",C167+IF($D$9="Monthly",1/12,1))</f>
        <v>72.7166666666663</v>
      </c>
      <c r="D168" s="231" t="n">
        <f aca="false">IF(L167&lt;&gt;1, IF(G167&lt;E167,0,D167),IF(L167=1,IFERROR(ROUND(IF($G167 - (E167 * 6) &lt; 0, D167, ($G167 - (E167 * 6)) * $D$8 / 12),2),0) ) )</f>
        <v>20.35</v>
      </c>
      <c r="E168" s="231" t="n">
        <f aca="false">IF(ISERROR(A168), 0,  MAX(0,   MIN(    ROUND(G167 + D168, 2),    ROUND(FV($S$5, IF(type=1, A168, A167), , IF(J168&lt;&gt;1, -$D$20, -$P$16 + P168), 2), 0)   )  ) )</f>
        <v>24</v>
      </c>
      <c r="F168" s="231" t="n">
        <f aca="false">IF(J168&lt;&gt;1, "", IF(J167&lt;&gt;0, F167, $K$12))</f>
        <v>1</v>
      </c>
      <c r="G168" s="232" t="n">
        <f aca="false">IF(ISERROR(A168),"",ROUND(G167-E168+D168,2))</f>
        <v>5003.1</v>
      </c>
      <c r="H168" s="237" t="n">
        <f aca="false">IF(G168&gt;0,IFERROR(H167+(H167*($D$16/12)),""),"")</f>
        <v>23.2338144286875</v>
      </c>
      <c r="I168" s="223" t="n">
        <f aca="false">IF(ISERROR(A169),"",12 - MONTH(B168))</f>
        <v>7</v>
      </c>
      <c r="J168" s="224" t="n">
        <f aca="false">K168</f>
        <v>1</v>
      </c>
      <c r="K168" s="225" t="n">
        <f aca="false">_xlfn.IFNA(IF(B168&gt;=$K$11, 1,0),0)</f>
        <v>1</v>
      </c>
      <c r="L168" s="60" t="str">
        <f aca="false">IF(I168=0,1,"")</f>
        <v/>
      </c>
      <c r="P168" s="4" t="n">
        <f aca="false">IF(AND(G168&gt;E168, A168&lt;&gt;0, V168&lt;&gt;0), $N$5 * ($P$22 ^ V168 - 1), 0)</f>
        <v>0</v>
      </c>
      <c r="V168" s="71" t="n">
        <f aca="false">IF(B168&lt;EDATE($K$11,12), 0,  DATEDIF(EDATE($K$11,12), B168 + 1, "y") + 1 )</f>
        <v>7</v>
      </c>
    </row>
    <row r="169" customFormat="false" ht="12.75" hidden="false" customHeight="true" outlineLevel="0" collapsed="false">
      <c r="A169" s="228" t="n">
        <f aca="false">IF(OR(G168="",G168&lt;=0,C168&gt;150),NA(),A168+1)</f>
        <v>141</v>
      </c>
      <c r="B169" s="229" t="n">
        <f aca="false">IF(ISERROR(A169),"",IF($D$9="Annually",EDATE(B168,12),EDATE(B168,1)))</f>
        <v>50584</v>
      </c>
      <c r="C169" s="230" t="n">
        <f aca="false">IF(ISERROR(A169),"",C168+IF($D$9="Monthly",1/12,1))</f>
        <v>72.7999999999996</v>
      </c>
      <c r="D169" s="231" t="n">
        <f aca="false">IF(L168&lt;&gt;1, IF(G168&lt;E168,0,D168),IF(L168=1,IFERROR(ROUND(IF($G168 - (E168 * 6) &lt; 0, D168, ($G168 - (E168 * 6)) * $D$8 / 12),2),0) ) )</f>
        <v>20.35</v>
      </c>
      <c r="E169" s="231" t="n">
        <f aca="false">IF(ISERROR(A169), 0,  MAX(0,   MIN(    ROUND(G168 + D169, 2),    ROUND(FV($S$5, IF(type=1, A169, A168), , IF(J169&lt;&gt;1, -$D$20, -$P$16 + P169), 2), 0)   )  ) )</f>
        <v>24</v>
      </c>
      <c r="F169" s="231" t="n">
        <f aca="false">IF(J169&lt;&gt;1, "", IF(J168&lt;&gt;0, F168, $K$12))</f>
        <v>1</v>
      </c>
      <c r="G169" s="232" t="n">
        <f aca="false">IF(ISERROR(A169),"",ROUND(G168-E169+D169,2))</f>
        <v>4999.45</v>
      </c>
      <c r="H169" s="233" t="n">
        <f aca="false">IF(G169&gt;0,IFERROR(H168+(H168*($D$16/12)),""),"")</f>
        <v>23.2725374527353</v>
      </c>
      <c r="I169" s="223" t="n">
        <f aca="false">IF(ISERROR(A170),"",12 - MONTH(B169))</f>
        <v>6</v>
      </c>
      <c r="J169" s="224" t="n">
        <f aca="false">K169</f>
        <v>1</v>
      </c>
      <c r="K169" s="225" t="n">
        <f aca="false">_xlfn.IFNA(IF(B169&gt;=$K$11, 1,0),0)</f>
        <v>1</v>
      </c>
      <c r="L169" s="60" t="str">
        <f aca="false">IF(I169=0,1,"")</f>
        <v/>
      </c>
      <c r="P169" s="4" t="n">
        <f aca="false">IF(AND(G169&gt;E169, A169&lt;&gt;0, V169&lt;&gt;0), $N$5 * ($P$22 ^ V169 - 1), 0)</f>
        <v>0</v>
      </c>
      <c r="V169" s="71" t="n">
        <f aca="false">IF(B169&lt;EDATE($K$11,12), 0,  DATEDIF(EDATE($K$11,12), B169 + 1, "y") + 1 )</f>
        <v>7</v>
      </c>
    </row>
    <row r="170" customFormat="false" ht="12.75" hidden="false" customHeight="true" outlineLevel="0" collapsed="false">
      <c r="A170" s="228" t="n">
        <f aca="false">IF(OR(G169="",G169&lt;=0,C169&gt;150),NA(),A169+1)</f>
        <v>142</v>
      </c>
      <c r="B170" s="229" t="n">
        <f aca="false">IF(ISERROR(A170),"",IF($D$9="Annually",EDATE(B169,12),EDATE(B169,1)))</f>
        <v>50614</v>
      </c>
      <c r="C170" s="230" t="n">
        <f aca="false">IF(ISERROR(A170),"",C169+IF($D$9="Monthly",1/12,1))</f>
        <v>72.8833333333329</v>
      </c>
      <c r="D170" s="231" t="n">
        <f aca="false">IF(L169&lt;&gt;1, IF(G169&lt;E169,0,D169),IF(L169=1,IFERROR(ROUND(IF($G169 - (E169 * 6) &lt; 0, D169, ($G169 - (E169 * 6)) * $D$8 / 12),2),0) ) )</f>
        <v>20.35</v>
      </c>
      <c r="E170" s="231" t="n">
        <f aca="false">IF(ISERROR(A170), 0,  MAX(0,   MIN(    ROUND(G169 + D170, 2),    ROUND(FV($S$5, IF(type=1, A170, A169), , IF(J170&lt;&gt;1, -$D$20, -$P$16 + P170), 2), 0)   )  ) )</f>
        <v>24</v>
      </c>
      <c r="F170" s="231" t="n">
        <f aca="false">IF(J170&lt;&gt;1, "", IF(J169&lt;&gt;0, F169, $K$12))</f>
        <v>1</v>
      </c>
      <c r="G170" s="232" t="n">
        <f aca="false">IF(ISERROR(A170),"",ROUND(G169-E170+D170,2))</f>
        <v>4995.8</v>
      </c>
      <c r="H170" s="237" t="n">
        <f aca="false">IF(G170&gt;0,IFERROR(H169+(H169*($D$16/12)),""),"")</f>
        <v>23.3113250151565</v>
      </c>
      <c r="I170" s="223" t="n">
        <f aca="false">IF(ISERROR(A171),"",12 - MONTH(B170))</f>
        <v>5</v>
      </c>
      <c r="J170" s="224" t="n">
        <f aca="false">K170</f>
        <v>1</v>
      </c>
      <c r="K170" s="225" t="n">
        <f aca="false">_xlfn.IFNA(IF(B170&gt;=$K$11, 1,0),0)</f>
        <v>1</v>
      </c>
      <c r="L170" s="60" t="str">
        <f aca="false">IF(I170=0,1,"")</f>
        <v/>
      </c>
      <c r="P170" s="4" t="n">
        <f aca="false">IF(AND(G170&gt;E170, A170&lt;&gt;0, V170&lt;&gt;0), $N$5 * ($P$22 ^ V170 - 1), 0)</f>
        <v>0</v>
      </c>
      <c r="V170" s="71" t="n">
        <f aca="false">IF(B170&lt;EDATE($K$11,12), 0,  DATEDIF(EDATE($K$11,12), B170 + 1, "y") + 1 )</f>
        <v>7</v>
      </c>
    </row>
    <row r="171" customFormat="false" ht="12.75" hidden="false" customHeight="true" outlineLevel="0" collapsed="false">
      <c r="A171" s="228" t="n">
        <f aca="false">IF(OR(G170="",G170&lt;=0,C170&gt;150),NA(),A170+1)</f>
        <v>143</v>
      </c>
      <c r="B171" s="229" t="n">
        <f aca="false">IF(ISERROR(A171),"",IF($D$9="Annually",EDATE(B170,12),EDATE(B170,1)))</f>
        <v>50645</v>
      </c>
      <c r="C171" s="230" t="n">
        <f aca="false">IF(ISERROR(A171),"",C170+IF($D$9="Monthly",1/12,1))</f>
        <v>72.9666666666662</v>
      </c>
      <c r="D171" s="231" t="n">
        <f aca="false">IF(L170&lt;&gt;1, IF(G170&lt;E170,0,D170),IF(L170=1,IFERROR(ROUND(IF($G170 - (E170 * 6) &lt; 0, D170, ($G170 - (E170 * 6)) * $D$8 / 12),2),0) ) )</f>
        <v>20.35</v>
      </c>
      <c r="E171" s="231" t="n">
        <f aca="false">IF(ISERROR(A171), 0,  MAX(0,   MIN(    ROUND(G170 + D171, 2),    ROUND(FV($S$5, IF(type=1, A171, A170), , IF(J171&lt;&gt;1, -$D$20, -$P$16 + P171), 2), 0)   )  ) )</f>
        <v>24</v>
      </c>
      <c r="F171" s="231" t="n">
        <f aca="false">IF(J171&lt;&gt;1, "", IF(J170&lt;&gt;0, F170, $K$12))</f>
        <v>1</v>
      </c>
      <c r="G171" s="232" t="n">
        <f aca="false">IF(ISERROR(A171),"",ROUND(G170-E171+D171,2))</f>
        <v>4992.15</v>
      </c>
      <c r="H171" s="233" t="n">
        <f aca="false">IF(G171&gt;0,IFERROR(H170+(H170*($D$16/12)),""),"")</f>
        <v>23.3501772235151</v>
      </c>
      <c r="I171" s="223" t="n">
        <f aca="false">IF(ISERROR(A172),"",12 - MONTH(B171))</f>
        <v>4</v>
      </c>
      <c r="J171" s="224" t="n">
        <f aca="false">K171</f>
        <v>1</v>
      </c>
      <c r="K171" s="225" t="n">
        <f aca="false">_xlfn.IFNA(IF(B171&gt;=$K$11, 1,0),0)</f>
        <v>1</v>
      </c>
      <c r="L171" s="60" t="str">
        <f aca="false">IF(I171=0,1,"")</f>
        <v/>
      </c>
      <c r="P171" s="4" t="n">
        <f aca="false">IF(AND(G171&gt;E171, A171&lt;&gt;0, V171&lt;&gt;0), $N$5 * ($P$22 ^ V171 - 1), 0)</f>
        <v>0</v>
      </c>
      <c r="V171" s="71" t="n">
        <f aca="false">IF(B171&lt;EDATE($K$11,12), 0,  DATEDIF(EDATE($K$11,12), B171 + 1, "y") + 1 )</f>
        <v>7</v>
      </c>
    </row>
    <row r="172" customFormat="false" ht="12.75" hidden="false" customHeight="true" outlineLevel="0" collapsed="false">
      <c r="A172" s="228" t="n">
        <f aca="false">IF(OR(G171="",G171&lt;=0,C171&gt;150),NA(),A171+1)</f>
        <v>144</v>
      </c>
      <c r="B172" s="229" t="n">
        <f aca="false">IF(ISERROR(A172),"",IF($D$9="Annually",EDATE(B171,12),EDATE(B171,1)))</f>
        <v>50676</v>
      </c>
      <c r="C172" s="230" t="n">
        <f aca="false">IF(ISERROR(A172),"",C171+IF($D$9="Monthly",1/12,1))</f>
        <v>73.0499999999996</v>
      </c>
      <c r="D172" s="231" t="n">
        <f aca="false">IF(L171&lt;&gt;1, IF(G171&lt;E171,0,D171),IF(L171=1,IFERROR(ROUND(IF($G171 - (E171 * 6) &lt; 0, D171, ($G171 - (E171 * 6)) * $D$8 / 12),2),0) ) )</f>
        <v>20.35</v>
      </c>
      <c r="E172" s="231" t="n">
        <f aca="false">IF(ISERROR(A172), 0,  MAX(0,   MIN(    ROUND(G171 + D172, 2),    ROUND(FV($S$5, IF(type=1, A172, A171), , IF(J172&lt;&gt;1, -$D$20, -$P$16 + P172), 2), 0)   )  ) )</f>
        <v>24</v>
      </c>
      <c r="F172" s="231" t="n">
        <f aca="false">IF(J172&lt;&gt;1, "", IF(J171&lt;&gt;0, F171, $K$12))</f>
        <v>1</v>
      </c>
      <c r="G172" s="232" t="n">
        <f aca="false">IF(ISERROR(A172),"",ROUND(G171-E172+D172,2))</f>
        <v>4988.5</v>
      </c>
      <c r="H172" s="237" t="n">
        <f aca="false">IF(G172&gt;0,IFERROR(H171+(H171*($D$16/12)),""),"")</f>
        <v>23.3890941855543</v>
      </c>
      <c r="I172" s="223" t="n">
        <f aca="false">IF(ISERROR(A173),"",12 - MONTH(B172))</f>
        <v>3</v>
      </c>
      <c r="J172" s="224" t="n">
        <f aca="false">K172</f>
        <v>1</v>
      </c>
      <c r="K172" s="225" t="n">
        <f aca="false">_xlfn.IFNA(IF(B172&gt;=$K$11, 1,0),0)</f>
        <v>1</v>
      </c>
      <c r="L172" s="60" t="str">
        <f aca="false">IF(I172=0,1,"")</f>
        <v/>
      </c>
      <c r="P172" s="4" t="n">
        <f aca="false">IF(AND(G172&gt;E172, A172&lt;&gt;0, V172&lt;&gt;0), $N$5 * ($P$22 ^ V172 - 1), 0)</f>
        <v>0</v>
      </c>
      <c r="V172" s="71" t="n">
        <f aca="false">IF(B172&lt;EDATE($K$11,12), 0,  DATEDIF(EDATE($K$11,12), B172 + 1, "y") + 1 )</f>
        <v>7</v>
      </c>
    </row>
    <row r="173" customFormat="false" ht="12.75" hidden="false" customHeight="true" outlineLevel="0" collapsed="false">
      <c r="A173" s="228" t="n">
        <f aca="false">IF(OR(G172="",G172&lt;=0,C172&gt;150),NA(),A172+1)</f>
        <v>145</v>
      </c>
      <c r="B173" s="229" t="n">
        <f aca="false">IF(ISERROR(A173),"",IF($D$9="Annually",EDATE(B172,12),EDATE(B172,1)))</f>
        <v>50706</v>
      </c>
      <c r="C173" s="230" t="n">
        <f aca="false">IF(ISERROR(A173),"",C172+IF($D$9="Monthly",1/12,1))</f>
        <v>73.1333333333329</v>
      </c>
      <c r="D173" s="231" t="n">
        <f aca="false">IF(L172&lt;&gt;1, IF(G172&lt;E172,0,D172),IF(L172=1,IFERROR(ROUND(IF($G172 - (E172 * 6) &lt; 0, D172, ($G172 - (E172 * 6)) * $D$8 / 12),2),0) ) )</f>
        <v>20.35</v>
      </c>
      <c r="E173" s="231" t="n">
        <f aca="false">IF(ISERROR(A173), 0,  MAX(0,   MIN(    ROUND(G172 + D173, 2),    ROUND(FV($S$5, IF(type=1, A173, A172), , IF(J173&lt;&gt;1, -$D$20, -$P$16 + P173), 2), 0)   )  ) )</f>
        <v>24</v>
      </c>
      <c r="F173" s="231" t="n">
        <f aca="false">IF(J173&lt;&gt;1, "", IF(J172&lt;&gt;0, F172, $K$12))</f>
        <v>1</v>
      </c>
      <c r="G173" s="232" t="n">
        <f aca="false">IF(ISERROR(A173),"",ROUND(G172-E173+D173,2))</f>
        <v>4984.85</v>
      </c>
      <c r="H173" s="233" t="n">
        <f aca="false">IF(G173&gt;0,IFERROR(H172+(H172*($D$16/12)),""),"")</f>
        <v>23.4280760091969</v>
      </c>
      <c r="I173" s="223" t="n">
        <f aca="false">IF(ISERROR(A174),"",12 - MONTH(B173))</f>
        <v>2</v>
      </c>
      <c r="J173" s="224" t="n">
        <f aca="false">K173</f>
        <v>1</v>
      </c>
      <c r="K173" s="225" t="n">
        <f aca="false">_xlfn.IFNA(IF(B173&gt;=$K$11, 1,0),0)</f>
        <v>1</v>
      </c>
      <c r="L173" s="60" t="str">
        <f aca="false">IF(I173=0,1,"")</f>
        <v/>
      </c>
      <c r="P173" s="4" t="n">
        <f aca="false">IF(AND(G173&gt;E173, A173&lt;&gt;0, V173&lt;&gt;0), $N$5 * ($P$22 ^ V173 - 1), 0)</f>
        <v>0</v>
      </c>
      <c r="V173" s="71" t="n">
        <f aca="false">IF(B173&lt;EDATE($K$11,12), 0,  DATEDIF(EDATE($K$11,12), B173 + 1, "y") + 1 )</f>
        <v>7</v>
      </c>
    </row>
    <row r="174" customFormat="false" ht="12.75" hidden="false" customHeight="true" outlineLevel="0" collapsed="false">
      <c r="A174" s="228" t="n">
        <f aca="false">IF(OR(G173="",G173&lt;=0,C173&gt;150),NA(),A173+1)</f>
        <v>146</v>
      </c>
      <c r="B174" s="229" t="n">
        <f aca="false">IF(ISERROR(A174),"",IF($D$9="Annually",EDATE(B173,12),EDATE(B173,1)))</f>
        <v>50737</v>
      </c>
      <c r="C174" s="230" t="n">
        <f aca="false">IF(ISERROR(A174),"",C173+IF($D$9="Monthly",1/12,1))</f>
        <v>73.2166666666662</v>
      </c>
      <c r="D174" s="231" t="n">
        <f aca="false">IF(L173&lt;&gt;1, IF(G173&lt;E173,0,D173),IF(L173=1,IFERROR(ROUND(IF($G173 - (E173 * 6) &lt; 0, D173, ($G173 - (E173 * 6)) * $D$8 / 12),2),0) ) )</f>
        <v>20.35</v>
      </c>
      <c r="E174" s="231" t="n">
        <f aca="false">IF(ISERROR(A174), 0,  MAX(0,   MIN(    ROUND(G173 + D174, 2),    ROUND(FV($S$5, IF(type=1, A174, A173), , IF(J174&lt;&gt;1, -$D$20, -$P$16 + P174), 2), 0)   )  ) )</f>
        <v>24</v>
      </c>
      <c r="F174" s="231" t="n">
        <f aca="false">IF(J174&lt;&gt;1, "", IF(J173&lt;&gt;0, F173, $K$12))</f>
        <v>1</v>
      </c>
      <c r="G174" s="232" t="n">
        <f aca="false">IF(ISERROR(A174),"",ROUND(G173-E174+D174,2))</f>
        <v>4981.2</v>
      </c>
      <c r="H174" s="237" t="n">
        <f aca="false">IF(G174&gt;0,IFERROR(H173+(H173*($D$16/12)),""),"")</f>
        <v>23.4671228025456</v>
      </c>
      <c r="I174" s="223" t="n">
        <f aca="false">IF(ISERROR(A175),"",12 - MONTH(B174))</f>
        <v>1</v>
      </c>
      <c r="J174" s="224" t="n">
        <f aca="false">K174</f>
        <v>1</v>
      </c>
      <c r="K174" s="225" t="n">
        <f aca="false">_xlfn.IFNA(IF(B174&gt;=$K$11, 1,0),0)</f>
        <v>1</v>
      </c>
      <c r="L174" s="60" t="str">
        <f aca="false">IF(I174=0,1,"")</f>
        <v/>
      </c>
      <c r="P174" s="4" t="n">
        <f aca="false">IF(AND(G174&gt;E174, A174&lt;&gt;0, V174&lt;&gt;0), $N$5 * ($P$22 ^ V174 - 1), 0)</f>
        <v>0</v>
      </c>
      <c r="V174" s="71" t="n">
        <f aca="false">IF(B174&lt;EDATE($K$11,12), 0,  DATEDIF(EDATE($K$11,12), B174 + 1, "y") + 1 )</f>
        <v>7</v>
      </c>
    </row>
    <row r="175" customFormat="false" ht="12.75" hidden="false" customHeight="true" outlineLevel="0" collapsed="false">
      <c r="A175" s="228" t="n">
        <f aca="false">IF(OR(G174="",G174&lt;=0,C174&gt;150),NA(),A174+1)</f>
        <v>147</v>
      </c>
      <c r="B175" s="229" t="n">
        <f aca="false">IF(ISERROR(A175),"",IF($D$9="Annually",EDATE(B174,12),EDATE(B174,1)))</f>
        <v>50767</v>
      </c>
      <c r="C175" s="230" t="n">
        <f aca="false">IF(ISERROR(A175),"",C174+IF($D$9="Monthly",1/12,1))</f>
        <v>73.2999999999996</v>
      </c>
      <c r="D175" s="231" t="n">
        <f aca="false">IF(L174&lt;&gt;1, IF(G174&lt;E174,0,D174),IF(L174=1,IFERROR(ROUND(IF($G174 - (E174 * 6) &lt; 0, D174, ($G174 - (E174 * 6)) * $D$8 / 12),2),0) ) )</f>
        <v>20.35</v>
      </c>
      <c r="E175" s="231" t="n">
        <f aca="false">IF(ISERROR(A175), 0,  MAX(0,   MIN(    ROUND(G174 + D175, 2),    ROUND(FV($S$5, IF(type=1, A175, A174), , IF(J175&lt;&gt;1, -$D$20, -$P$16 + P175), 2), 0)   )  ) )</f>
        <v>24</v>
      </c>
      <c r="F175" s="231" t="n">
        <f aca="false">IF(J175&lt;&gt;1, "", IF(J174&lt;&gt;0, F174, $K$12))</f>
        <v>1</v>
      </c>
      <c r="G175" s="232" t="n">
        <f aca="false">IF(ISERROR(A175),"",ROUND(G174-E175+D175,2))</f>
        <v>4977.55</v>
      </c>
      <c r="H175" s="233" t="n">
        <f aca="false">IF(G175&gt;0,IFERROR(H174+(H174*($D$16/12)),""),"")</f>
        <v>23.5062346738832</v>
      </c>
      <c r="I175" s="223" t="n">
        <f aca="false">IF(ISERROR(A176),"",12 - MONTH(B175))</f>
        <v>0</v>
      </c>
      <c r="J175" s="224" t="n">
        <f aca="false">K175</f>
        <v>1</v>
      </c>
      <c r="K175" s="225" t="n">
        <f aca="false">_xlfn.IFNA(IF(B175&gt;=$K$11, 1,0),0)</f>
        <v>1</v>
      </c>
      <c r="L175" s="60" t="n">
        <f aca="false">IF(I175=0,1,"")</f>
        <v>1</v>
      </c>
      <c r="P175" s="4" t="n">
        <f aca="false">IF(AND(G175&gt;E175, A175&lt;&gt;0, V175&lt;&gt;0), $N$5 * ($P$22 ^ V175 - 1), 0)</f>
        <v>0</v>
      </c>
      <c r="V175" s="71" t="n">
        <f aca="false">IF(B175&lt;EDATE($K$11,12), 0,  DATEDIF(EDATE($K$11,12), B175 + 1, "y") + 1 )</f>
        <v>7</v>
      </c>
    </row>
    <row r="176" customFormat="false" ht="12.75" hidden="false" customHeight="true" outlineLevel="0" collapsed="false">
      <c r="A176" s="228" t="n">
        <f aca="false">IF(OR(G175="",G175&lt;=0,C175&gt;150),NA(),A175+1)</f>
        <v>148</v>
      </c>
      <c r="B176" s="229" t="n">
        <f aca="false">IF(ISERROR(A176),"",IF($D$9="Annually",EDATE(B175,12),EDATE(B175,1)))</f>
        <v>50798</v>
      </c>
      <c r="C176" s="230" t="n">
        <f aca="false">IF(ISERROR(A176),"",C175+IF($D$9="Monthly",1/12,1))</f>
        <v>73.3833333333329</v>
      </c>
      <c r="D176" s="231" t="n">
        <f aca="false">IF(L175&lt;&gt;1, IF(G175&lt;E175,0,D175),IF(L175=1,IFERROR(ROUND(IF($G175 - (E175 * 6) &lt; 0, D175, ($G175 - (E175 * 6)) * $D$8 / 12),2),0) ) )</f>
        <v>20.14</v>
      </c>
      <c r="E176" s="231" t="n">
        <f aca="false">IF(ISERROR(A176), 0,  MAX(0,   MIN(    ROUND(G175 + D176, 2),    ROUND(FV($S$5, IF(type=1, A176, A175), , IF(J176&lt;&gt;1, -$D$20, -$P$16 + P176), 2), 0)   )  ) )</f>
        <v>24</v>
      </c>
      <c r="F176" s="231" t="n">
        <f aca="false">IF(J176&lt;&gt;1, "", IF(J175&lt;&gt;0, F175, $K$12))</f>
        <v>1</v>
      </c>
      <c r="G176" s="232" t="n">
        <f aca="false">IF(ISERROR(A176),"",ROUND(G175-E176+D176,2))</f>
        <v>4973.69</v>
      </c>
      <c r="H176" s="237" t="n">
        <f aca="false">IF(G176&gt;0,IFERROR(H175+(H175*($D$16/12)),""),"")</f>
        <v>23.545411731673</v>
      </c>
      <c r="I176" s="223" t="n">
        <f aca="false">IF(ISERROR(A177),"",12 - MONTH(B176))</f>
        <v>11</v>
      </c>
      <c r="J176" s="224" t="n">
        <f aca="false">K176</f>
        <v>1</v>
      </c>
      <c r="K176" s="225" t="n">
        <f aca="false">_xlfn.IFNA(IF(B176&gt;=$K$11, 1,0),0)</f>
        <v>1</v>
      </c>
      <c r="L176" s="60" t="str">
        <f aca="false">IF(I176=0,1,"")</f>
        <v/>
      </c>
      <c r="P176" s="4" t="n">
        <f aca="false">IF(AND(G176&gt;E176, A176&lt;&gt;0, V176&lt;&gt;0), $N$5 * ($P$22 ^ V176 - 1), 0)</f>
        <v>0</v>
      </c>
      <c r="V176" s="71" t="n">
        <f aca="false">IF(B176&lt;EDATE($K$11,12), 0,  DATEDIF(EDATE($K$11,12), B176 + 1, "y") + 1 )</f>
        <v>8</v>
      </c>
    </row>
    <row r="177" customFormat="false" ht="12.75" hidden="false" customHeight="true" outlineLevel="0" collapsed="false">
      <c r="A177" s="228" t="n">
        <f aca="false">IF(OR(G176="",G176&lt;=0,C176&gt;150),NA(),A176+1)</f>
        <v>149</v>
      </c>
      <c r="B177" s="229" t="n">
        <f aca="false">IF(ISERROR(A177),"",IF($D$9="Annually",EDATE(B176,12),EDATE(B176,1)))</f>
        <v>50829</v>
      </c>
      <c r="C177" s="230" t="n">
        <f aca="false">IF(ISERROR(A177),"",C176+IF($D$9="Monthly",1/12,1))</f>
        <v>73.4666666666662</v>
      </c>
      <c r="D177" s="231" t="n">
        <f aca="false">IF(L176&lt;&gt;1, IF(G176&lt;E176,0,D176),IF(L176=1,IFERROR(ROUND(IF($G176 - (E176 * 6) &lt; 0, D176, ($G176 - (E176 * 6)) * $D$8 / 12),2),0) ) )</f>
        <v>20.14</v>
      </c>
      <c r="E177" s="231" t="n">
        <f aca="false">IF(ISERROR(A177), 0,  MAX(0,   MIN(    ROUND(G176 + D177, 2),    ROUND(FV($S$5, IF(type=1, A177, A176), , IF(J177&lt;&gt;1, -$D$20, -$P$16 + P177), 2), 0)   )  ) )</f>
        <v>24</v>
      </c>
      <c r="F177" s="231" t="n">
        <f aca="false">IF(J177&lt;&gt;1, "", IF(J176&lt;&gt;0, F176, $K$12))</f>
        <v>1</v>
      </c>
      <c r="G177" s="232" t="n">
        <f aca="false">IF(ISERROR(A177),"",ROUND(G176-E177+D177,2))</f>
        <v>4969.83</v>
      </c>
      <c r="H177" s="233" t="n">
        <f aca="false">IF(G177&gt;0,IFERROR(H176+(H176*($D$16/12)),""),"")</f>
        <v>23.5846540845591</v>
      </c>
      <c r="I177" s="223" t="n">
        <f aca="false">IF(ISERROR(A178),"",12 - MONTH(B177))</f>
        <v>10</v>
      </c>
      <c r="J177" s="224" t="n">
        <f aca="false">K177</f>
        <v>1</v>
      </c>
      <c r="K177" s="225" t="n">
        <f aca="false">_xlfn.IFNA(IF(B177&gt;=$K$11, 1,0),0)</f>
        <v>1</v>
      </c>
      <c r="L177" s="60" t="str">
        <f aca="false">IF(I177=0,1,"")</f>
        <v/>
      </c>
      <c r="P177" s="4" t="n">
        <f aca="false">IF(AND(G177&gt;E177, A177&lt;&gt;0, V177&lt;&gt;0), $N$5 * ($P$22 ^ V177 - 1), 0)</f>
        <v>0</v>
      </c>
      <c r="V177" s="71" t="n">
        <f aca="false">IF(B177&lt;EDATE($K$11,12), 0,  DATEDIF(EDATE($K$11,12), B177 + 1, "y") + 1 )</f>
        <v>8</v>
      </c>
    </row>
    <row r="178" customFormat="false" ht="12.75" hidden="false" customHeight="true" outlineLevel="0" collapsed="false">
      <c r="A178" s="228" t="n">
        <f aca="false">IF(OR(G177="",G177&lt;=0,C177&gt;150),NA(),A177+1)</f>
        <v>150</v>
      </c>
      <c r="B178" s="229" t="n">
        <f aca="false">IF(ISERROR(A178),"",IF($D$9="Annually",EDATE(B177,12),EDATE(B177,1)))</f>
        <v>50857</v>
      </c>
      <c r="C178" s="230" t="n">
        <f aca="false">IF(ISERROR(A178),"",C177+IF($D$9="Monthly",1/12,1))</f>
        <v>73.5499999999995</v>
      </c>
      <c r="D178" s="231" t="n">
        <f aca="false">IF(L177&lt;&gt;1, IF(G177&lt;E177,0,D177),IF(L177=1,IFERROR(ROUND(IF($G177 - (E177 * 6) &lt; 0, D177, ($G177 - (E177 * 6)) * $D$8 / 12),2),0) ) )</f>
        <v>20.14</v>
      </c>
      <c r="E178" s="231" t="n">
        <f aca="false">IF(ISERROR(A178), 0,  MAX(0,   MIN(    ROUND(G177 + D178, 2),    ROUND(FV($S$5, IF(type=1, A178, A177), , IF(J178&lt;&gt;1, -$D$20, -$P$16 + P178), 2), 0)   )  ) )</f>
        <v>24</v>
      </c>
      <c r="F178" s="231" t="n">
        <f aca="false">IF(J178&lt;&gt;1, "", IF(J177&lt;&gt;0, F177, $K$12))</f>
        <v>1</v>
      </c>
      <c r="G178" s="232" t="n">
        <f aca="false">IF(ISERROR(A178),"",ROUND(G177-E178+D178,2))</f>
        <v>4965.97</v>
      </c>
      <c r="H178" s="237" t="n">
        <f aca="false">IF(G178&gt;0,IFERROR(H177+(H177*($D$16/12)),""),"")</f>
        <v>23.6239618413667</v>
      </c>
      <c r="I178" s="223" t="n">
        <f aca="false">IF(ISERROR(A179),"",12 - MONTH(B178))</f>
        <v>9</v>
      </c>
      <c r="J178" s="224" t="n">
        <f aca="false">K178</f>
        <v>1</v>
      </c>
      <c r="K178" s="225" t="n">
        <f aca="false">_xlfn.IFNA(IF(B178&gt;=$K$11, 1,0),0)</f>
        <v>1</v>
      </c>
      <c r="L178" s="60" t="str">
        <f aca="false">IF(I178=0,1,"")</f>
        <v/>
      </c>
      <c r="P178" s="4" t="n">
        <f aca="false">IF(AND(G178&gt;E178, A178&lt;&gt;0, V178&lt;&gt;0), $N$5 * ($P$22 ^ V178 - 1), 0)</f>
        <v>0</v>
      </c>
      <c r="V178" s="71" t="n">
        <f aca="false">IF(B178&lt;EDATE($K$11,12), 0,  DATEDIF(EDATE($K$11,12), B178 + 1, "y") + 1 )</f>
        <v>8</v>
      </c>
    </row>
    <row r="179" customFormat="false" ht="12.75" hidden="false" customHeight="true" outlineLevel="0" collapsed="false">
      <c r="A179" s="228" t="n">
        <f aca="false">IF(OR(G178="",G178&lt;=0,C178&gt;150),NA(),A178+1)</f>
        <v>151</v>
      </c>
      <c r="B179" s="229" t="n">
        <f aca="false">IF(ISERROR(A179),"",IF($D$9="Annually",EDATE(B178,12),EDATE(B178,1)))</f>
        <v>50888</v>
      </c>
      <c r="C179" s="230" t="n">
        <f aca="false">IF(ISERROR(A179),"",C178+IF($D$9="Monthly",1/12,1))</f>
        <v>73.6333333333329</v>
      </c>
      <c r="D179" s="231" t="n">
        <f aca="false">IF(L178&lt;&gt;1, IF(G178&lt;E178,0,D178),IF(L178=1,IFERROR(ROUND(IF($G178 - (E178 * 6) &lt; 0, D178, ($G178 - (E178 * 6)) * $D$8 / 12),2),0) ) )</f>
        <v>20.14</v>
      </c>
      <c r="E179" s="231" t="n">
        <f aca="false">IF(ISERROR(A179), 0,  MAX(0,   MIN(    ROUND(G178 + D179, 2),    ROUND(FV($S$5, IF(type=1, A179, A178), , IF(J179&lt;&gt;1, -$D$20, -$P$16 + P179), 2), 0)   )  ) )</f>
        <v>24</v>
      </c>
      <c r="F179" s="231" t="n">
        <f aca="false">IF(J179&lt;&gt;1, "", IF(J178&lt;&gt;0, F178, $K$12))</f>
        <v>1</v>
      </c>
      <c r="G179" s="232" t="n">
        <f aca="false">IF(ISERROR(A179),"",ROUND(G178-E179+D179,2))</f>
        <v>4962.11</v>
      </c>
      <c r="H179" s="237" t="n">
        <f aca="false">IF(G179&gt;0,IFERROR(H178+(H178*($D$16/12)),""),"")</f>
        <v>23.6633351111023</v>
      </c>
      <c r="I179" s="223" t="n">
        <f aca="false">IF(ISERROR(A180),"",12 - MONTH(B179))</f>
        <v>8</v>
      </c>
      <c r="J179" s="224" t="n">
        <f aca="false">K179</f>
        <v>1</v>
      </c>
      <c r="K179" s="225" t="n">
        <f aca="false">_xlfn.IFNA(IF(B179&gt;=$K$11, 1,0),0)</f>
        <v>1</v>
      </c>
      <c r="L179" s="60" t="str">
        <f aca="false">IF(I179=0,1,"")</f>
        <v/>
      </c>
      <c r="P179" s="4" t="n">
        <f aca="false">IF(AND(G179&gt;E179, A179&lt;&gt;0, V179&lt;&gt;0), $N$5 * ($P$22 ^ V179 - 1), 0)</f>
        <v>0</v>
      </c>
      <c r="V179" s="71" t="n">
        <f aca="false">IF(B179&lt;EDATE($K$11,12), 0,  DATEDIF(EDATE($K$11,12), B179 + 1, "y") + 1 )</f>
        <v>8</v>
      </c>
    </row>
    <row r="180" customFormat="false" ht="12.75" hidden="false" customHeight="true" outlineLevel="0" collapsed="false">
      <c r="A180" s="228" t="n">
        <f aca="false">IF(OR(G179="",G179&lt;=0,C179&gt;150),NA(),A179+1)</f>
        <v>152</v>
      </c>
      <c r="B180" s="229" t="n">
        <f aca="false">IF(ISERROR(A180),"",IF($D$9="Annually",EDATE(B179,12),EDATE(B179,1)))</f>
        <v>50918</v>
      </c>
      <c r="C180" s="230" t="n">
        <f aca="false">IF(ISERROR(A180),"",C179+IF($D$9="Monthly",1/12,1))</f>
        <v>73.7166666666662</v>
      </c>
      <c r="D180" s="231" t="n">
        <f aca="false">IF(L179&lt;&gt;1, IF(G179&lt;E179,0,D179),IF(L179=1,IFERROR(ROUND(IF($G179 - (E179 * 6) &lt; 0, D179, ($G179 - (E179 * 6)) * $D$8 / 12),2),0) ) )</f>
        <v>20.14</v>
      </c>
      <c r="E180" s="231" t="n">
        <f aca="false">IF(ISERROR(A180), 0,  MAX(0,   MIN(    ROUND(G179 + D180, 2),    ROUND(FV($S$5, IF(type=1, A180, A179), , IF(J180&lt;&gt;1, -$D$20, -$P$16 + P180), 2), 0)   )  ) )</f>
        <v>24</v>
      </c>
      <c r="F180" s="231" t="n">
        <f aca="false">IF(J180&lt;&gt;1, "", IF(J179&lt;&gt;0, F179, $K$12))</f>
        <v>1</v>
      </c>
      <c r="G180" s="232" t="n">
        <f aca="false">IF(ISERROR(A180),"",ROUND(G179-E180+D180,2))</f>
        <v>4958.25</v>
      </c>
      <c r="H180" s="237" t="n">
        <f aca="false">IF(G180&gt;0,IFERROR(H179+(H179*($D$16/12)),""),"")</f>
        <v>23.7027740029541</v>
      </c>
      <c r="I180" s="223" t="n">
        <f aca="false">IF(ISERROR(A181),"",12 - MONTH(B180))</f>
        <v>7</v>
      </c>
      <c r="J180" s="224" t="n">
        <f aca="false">K180</f>
        <v>1</v>
      </c>
      <c r="K180" s="225" t="n">
        <f aca="false">_xlfn.IFNA(IF(B180&gt;=$K$11, 1,0),0)</f>
        <v>1</v>
      </c>
      <c r="L180" s="60" t="str">
        <f aca="false">IF(I180=0,1,"")</f>
        <v/>
      </c>
      <c r="P180" s="4" t="n">
        <f aca="false">IF(AND(G180&gt;E180, A180&lt;&gt;0, V180&lt;&gt;0), $N$5 * ($P$22 ^ V180 - 1), 0)</f>
        <v>0</v>
      </c>
      <c r="V180" s="71" t="n">
        <f aca="false">IF(B180&lt;EDATE($K$11,12), 0,  DATEDIF(EDATE($K$11,12), B180 + 1, "y") + 1 )</f>
        <v>8</v>
      </c>
    </row>
    <row r="181" customFormat="false" ht="12.75" hidden="false" customHeight="true" outlineLevel="0" collapsed="false">
      <c r="A181" s="228" t="n">
        <f aca="false">IF(OR(G180="",G180&lt;=0,C180&gt;150),NA(),A180+1)</f>
        <v>153</v>
      </c>
      <c r="B181" s="229" t="n">
        <f aca="false">IF(ISERROR(A181),"",IF($D$9="Annually",EDATE(B180,12),EDATE(B180,1)))</f>
        <v>50949</v>
      </c>
      <c r="C181" s="230" t="n">
        <f aca="false">IF(ISERROR(A181),"",C180+IF($D$9="Monthly",1/12,1))</f>
        <v>73.7999999999995</v>
      </c>
      <c r="D181" s="231" t="n">
        <f aca="false">IF(L180&lt;&gt;1, IF(G180&lt;E180,0,D180),IF(L180=1,IFERROR(ROUND(IF($G180 - (E180 * 6) &lt; 0, D180, ($G180 - (E180 * 6)) * $D$8 / 12),2),0) ) )</f>
        <v>20.14</v>
      </c>
      <c r="E181" s="231" t="n">
        <f aca="false">IF(ISERROR(A181), 0,  MAX(0,   MIN(    ROUND(G180 + D181, 2),    ROUND(FV($S$5, IF(type=1, A181, A180), , IF(J181&lt;&gt;1, -$D$20, -$P$16 + P181), 2), 0)   )  ) )</f>
        <v>24</v>
      </c>
      <c r="F181" s="231" t="n">
        <f aca="false">IF(J181&lt;&gt;1, "", IF(J180&lt;&gt;0, F180, $K$12))</f>
        <v>1</v>
      </c>
      <c r="G181" s="232" t="n">
        <f aca="false">IF(ISERROR(A181),"",ROUND(G180-E181+D181,2))</f>
        <v>4954.39</v>
      </c>
      <c r="H181" s="237" t="n">
        <f aca="false">IF(G181&gt;0,IFERROR(H180+(H180*($D$16/12)),""),"")</f>
        <v>23.7422786262924</v>
      </c>
      <c r="I181" s="223" t="n">
        <f aca="false">IF(ISERROR(A182),"",12 - MONTH(B181))</f>
        <v>6</v>
      </c>
      <c r="J181" s="224" t="n">
        <f aca="false">K181</f>
        <v>1</v>
      </c>
      <c r="K181" s="225" t="n">
        <f aca="false">_xlfn.IFNA(IF(B181&gt;=$K$11, 1,0),0)</f>
        <v>1</v>
      </c>
      <c r="L181" s="60" t="str">
        <f aca="false">IF(I181=0,1,"")</f>
        <v/>
      </c>
      <c r="P181" s="4" t="n">
        <f aca="false">IF(AND(G181&gt;E181, A181&lt;&gt;0, V181&lt;&gt;0), $N$5 * ($P$22 ^ V181 - 1), 0)</f>
        <v>0</v>
      </c>
      <c r="V181" s="71" t="n">
        <f aca="false">IF(B181&lt;EDATE($K$11,12), 0,  DATEDIF(EDATE($K$11,12), B181 + 1, "y") + 1 )</f>
        <v>8</v>
      </c>
    </row>
    <row r="182" customFormat="false" ht="12.75" hidden="false" customHeight="true" outlineLevel="0" collapsed="false">
      <c r="A182" s="228" t="n">
        <f aca="false">IF(OR(G181="",G181&lt;=0,C181&gt;150),NA(),A181+1)</f>
        <v>154</v>
      </c>
      <c r="B182" s="229" t="n">
        <f aca="false">IF(ISERROR(A182),"",IF($D$9="Annually",EDATE(B181,12),EDATE(B181,1)))</f>
        <v>50979</v>
      </c>
      <c r="C182" s="230" t="n">
        <f aca="false">IF(ISERROR(A182),"",C181+IF($D$9="Monthly",1/12,1))</f>
        <v>73.8833333333329</v>
      </c>
      <c r="D182" s="231" t="n">
        <f aca="false">IF(L181&lt;&gt;1, IF(G181&lt;E181,0,D181),IF(L181=1,IFERROR(ROUND(IF($G181 - (E181 * 6) &lt; 0, D181, ($G181 - (E181 * 6)) * $D$8 / 12),2),0) ) )</f>
        <v>20.14</v>
      </c>
      <c r="E182" s="231" t="n">
        <f aca="false">IF(ISERROR(A182), 0,  MAX(0,   MIN(    ROUND(G181 + D182, 2),    ROUND(FV($S$5, IF(type=1, A182, A181), , IF(J182&lt;&gt;1, -$D$20, -$P$16 + P182), 2), 0)   )  ) )</f>
        <v>24</v>
      </c>
      <c r="F182" s="231" t="n">
        <f aca="false">IF(J182&lt;&gt;1, "", IF(J181&lt;&gt;0, F181, $K$12))</f>
        <v>1</v>
      </c>
      <c r="G182" s="232" t="n">
        <f aca="false">IF(ISERROR(A182),"",ROUND(G181-E182+D182,2))</f>
        <v>4950.53</v>
      </c>
      <c r="H182" s="237" t="n">
        <f aca="false">IF(G182&gt;0,IFERROR(H181+(H181*($D$16/12)),""),"")</f>
        <v>23.7818490906695</v>
      </c>
      <c r="I182" s="223" t="n">
        <f aca="false">IF(ISERROR(A183),"",12 - MONTH(B182))</f>
        <v>5</v>
      </c>
      <c r="J182" s="224" t="n">
        <f aca="false">K182</f>
        <v>1</v>
      </c>
      <c r="K182" s="225" t="n">
        <f aca="false">_xlfn.IFNA(IF(B182&gt;=$K$11, 1,0),0)</f>
        <v>1</v>
      </c>
      <c r="L182" s="60" t="str">
        <f aca="false">IF(I182=0,1,"")</f>
        <v/>
      </c>
      <c r="P182" s="4" t="n">
        <f aca="false">IF(AND(G182&gt;E182, A182&lt;&gt;0, V182&lt;&gt;0), $N$5 * ($P$22 ^ V182 - 1), 0)</f>
        <v>0</v>
      </c>
      <c r="V182" s="71" t="n">
        <f aca="false">IF(B182&lt;EDATE($K$11,12), 0,  DATEDIF(EDATE($K$11,12), B182 + 1, "y") + 1 )</f>
        <v>8</v>
      </c>
    </row>
    <row r="183" customFormat="false" ht="12.75" hidden="false" customHeight="true" outlineLevel="0" collapsed="false">
      <c r="A183" s="228" t="n">
        <f aca="false">IF(OR(G182="",G182&lt;=0,C182&gt;150),NA(),A182+1)</f>
        <v>155</v>
      </c>
      <c r="B183" s="229" t="n">
        <f aca="false">IF(ISERROR(A183),"",IF($D$9="Annually",EDATE(B182,12),EDATE(B182,1)))</f>
        <v>51010</v>
      </c>
      <c r="C183" s="230" t="n">
        <f aca="false">IF(ISERROR(A183),"",C182+IF($D$9="Monthly",1/12,1))</f>
        <v>73.9666666666662</v>
      </c>
      <c r="D183" s="231" t="n">
        <f aca="false">IF(L182&lt;&gt;1, IF(G182&lt;E182,0,D182),IF(L182=1,IFERROR(ROUND(IF($G182 - (E182 * 6) &lt; 0, D182, ($G182 - (E182 * 6)) * $D$8 / 12),2),0) ) )</f>
        <v>20.14</v>
      </c>
      <c r="E183" s="231" t="n">
        <f aca="false">IF(ISERROR(A183), 0,  MAX(0,   MIN(    ROUND(G182 + D183, 2),    ROUND(FV($S$5, IF(type=1, A183, A182), , IF(J183&lt;&gt;1, -$D$20, -$P$16 + P183), 2), 0)   )  ) )</f>
        <v>24</v>
      </c>
      <c r="F183" s="231" t="n">
        <f aca="false">IF(J183&lt;&gt;1, "", IF(J182&lt;&gt;0, F182, $K$12))</f>
        <v>1</v>
      </c>
      <c r="G183" s="232" t="n">
        <f aca="false">IF(ISERROR(A183),"",ROUND(G182-E183+D183,2))</f>
        <v>4946.67</v>
      </c>
      <c r="H183" s="237" t="n">
        <f aca="false">IF(G183&gt;0,IFERROR(H182+(H182*($D$16/12)),""),"")</f>
        <v>23.8214855058207</v>
      </c>
      <c r="I183" s="223" t="n">
        <f aca="false">IF(ISERROR(A184),"",12 - MONTH(B183))</f>
        <v>4</v>
      </c>
      <c r="J183" s="224" t="n">
        <f aca="false">K183</f>
        <v>1</v>
      </c>
      <c r="K183" s="225" t="n">
        <f aca="false">_xlfn.IFNA(IF(B183&gt;=$K$11, 1,0),0)</f>
        <v>1</v>
      </c>
      <c r="L183" s="60" t="str">
        <f aca="false">IF(I183=0,1,"")</f>
        <v/>
      </c>
      <c r="P183" s="4" t="n">
        <f aca="false">IF(AND(G183&gt;E183, A183&lt;&gt;0, V183&lt;&gt;0), $N$5 * ($P$22 ^ V183 - 1), 0)</f>
        <v>0</v>
      </c>
      <c r="V183" s="71" t="n">
        <f aca="false">IF(B183&lt;EDATE($K$11,12), 0,  DATEDIF(EDATE($K$11,12), B183 + 1, "y") + 1 )</f>
        <v>8</v>
      </c>
    </row>
    <row r="184" customFormat="false" ht="12.75" hidden="false" customHeight="true" outlineLevel="0" collapsed="false">
      <c r="A184" s="228" t="n">
        <f aca="false">IF(OR(G183="",G183&lt;=0,C183&gt;150),NA(),A183+1)</f>
        <v>156</v>
      </c>
      <c r="B184" s="229" t="n">
        <f aca="false">IF(ISERROR(A184),"",IF($D$9="Annually",EDATE(B183,12),EDATE(B183,1)))</f>
        <v>51041</v>
      </c>
      <c r="C184" s="230" t="n">
        <f aca="false">IF(ISERROR(A184),"",C183+IF($D$9="Monthly",1/12,1))</f>
        <v>74.0499999999995</v>
      </c>
      <c r="D184" s="231" t="n">
        <f aca="false">IF(L183&lt;&gt;1, IF(G183&lt;E183,0,D183),IF(L183=1,IFERROR(ROUND(IF($G183 - (E183 * 6) &lt; 0, D183, ($G183 - (E183 * 6)) * $D$8 / 12),2),0) ) )</f>
        <v>20.14</v>
      </c>
      <c r="E184" s="231" t="n">
        <f aca="false">IF(ISERROR(A184), 0,  MAX(0,   MIN(    ROUND(G183 + D184, 2),    ROUND(FV($S$5, IF(type=1, A184, A183), , IF(J184&lt;&gt;1, -$D$20, -$P$16 + P184), 2), 0)   )  ) )</f>
        <v>24</v>
      </c>
      <c r="F184" s="231" t="n">
        <f aca="false">IF(J184&lt;&gt;1, "", IF(J183&lt;&gt;0, F183, $K$12))</f>
        <v>1</v>
      </c>
      <c r="G184" s="232" t="n">
        <f aca="false">IF(ISERROR(A184),"",ROUND(G183-E184+D184,2))</f>
        <v>4942.81</v>
      </c>
      <c r="H184" s="237" t="n">
        <f aca="false">IF(G184&gt;0,IFERROR(H183+(H183*($D$16/12)),""),"")</f>
        <v>23.8611879816637</v>
      </c>
      <c r="I184" s="223" t="n">
        <f aca="false">IF(ISERROR(A185),"",12 - MONTH(B184))</f>
        <v>3</v>
      </c>
      <c r="J184" s="224" t="n">
        <f aca="false">K184</f>
        <v>1</v>
      </c>
      <c r="K184" s="225" t="n">
        <f aca="false">_xlfn.IFNA(IF(B184&gt;=$K$11, 1,0),0)</f>
        <v>1</v>
      </c>
      <c r="L184" s="60" t="str">
        <f aca="false">IF(I184=0,1,"")</f>
        <v/>
      </c>
      <c r="P184" s="4" t="n">
        <f aca="false">IF(AND(G184&gt;E184, A184&lt;&gt;0, V184&lt;&gt;0), $N$5 * ($P$22 ^ V184 - 1), 0)</f>
        <v>0</v>
      </c>
      <c r="V184" s="71" t="n">
        <f aca="false">IF(B184&lt;EDATE($K$11,12), 0,  DATEDIF(EDATE($K$11,12), B184 + 1, "y") + 1 )</f>
        <v>8</v>
      </c>
    </row>
    <row r="185" customFormat="false" ht="12.75" hidden="false" customHeight="true" outlineLevel="0" collapsed="false">
      <c r="A185" s="228" t="n">
        <f aca="false">IF(OR(G184="",G184&lt;=0,C184&gt;150),NA(),A184+1)</f>
        <v>157</v>
      </c>
      <c r="B185" s="229" t="n">
        <f aca="false">IF(ISERROR(A185),"",IF($D$9="Annually",EDATE(B184,12),EDATE(B184,1)))</f>
        <v>51071</v>
      </c>
      <c r="C185" s="230" t="n">
        <f aca="false">IF(ISERROR(A185),"",C184+IF($D$9="Monthly",1/12,1))</f>
        <v>74.1333333333328</v>
      </c>
      <c r="D185" s="231" t="n">
        <f aca="false">IF(L184&lt;&gt;1, IF(G184&lt;E184,0,D184),IF(L184=1,IFERROR(ROUND(IF($G184 - (E184 * 6) &lt; 0, D184, ($G184 - (E184 * 6)) * $D$8 / 12),2),0) ) )</f>
        <v>20.14</v>
      </c>
      <c r="E185" s="231" t="n">
        <f aca="false">IF(ISERROR(A185), 0,  MAX(0,   MIN(    ROUND(G184 + D185, 2),    ROUND(FV($S$5, IF(type=1, A185, A184), , IF(J185&lt;&gt;1, -$D$20, -$P$16 + P185), 2), 0)   )  ) )</f>
        <v>24</v>
      </c>
      <c r="F185" s="231" t="n">
        <f aca="false">IF(J185&lt;&gt;1, "", IF(J184&lt;&gt;0, F184, $K$12))</f>
        <v>1</v>
      </c>
      <c r="G185" s="232" t="n">
        <f aca="false">IF(ISERROR(A185),"",ROUND(G184-E185+D185,2))</f>
        <v>4938.95</v>
      </c>
      <c r="H185" s="237" t="n">
        <f aca="false">IF(G185&gt;0,IFERROR(H184+(H184*($D$16/12)),""),"")</f>
        <v>23.9009566282998</v>
      </c>
      <c r="I185" s="223" t="n">
        <f aca="false">IF(ISERROR(A186),"",12 - MONTH(B185))</f>
        <v>2</v>
      </c>
      <c r="J185" s="224" t="n">
        <f aca="false">K185</f>
        <v>1</v>
      </c>
      <c r="K185" s="225" t="n">
        <f aca="false">_xlfn.IFNA(IF(B185&gt;=$K$11, 1,0),0)</f>
        <v>1</v>
      </c>
      <c r="L185" s="60" t="str">
        <f aca="false">IF(I185=0,1,"")</f>
        <v/>
      </c>
      <c r="P185" s="4" t="n">
        <f aca="false">IF(AND(G185&gt;E185, A185&lt;&gt;0, V185&lt;&gt;0), $N$5 * ($P$22 ^ V185 - 1), 0)</f>
        <v>0</v>
      </c>
      <c r="V185" s="71" t="n">
        <f aca="false">IF(B185&lt;EDATE($K$11,12), 0,  DATEDIF(EDATE($K$11,12), B185 + 1, "y") + 1 )</f>
        <v>8</v>
      </c>
    </row>
    <row r="186" customFormat="false" ht="12.75" hidden="false" customHeight="true" outlineLevel="0" collapsed="false">
      <c r="A186" s="228" t="n">
        <f aca="false">IF(OR(G185="",G185&lt;=0,C185&gt;150),NA(),A185+1)</f>
        <v>158</v>
      </c>
      <c r="B186" s="229" t="n">
        <f aca="false">IF(ISERROR(A186),"",IF($D$9="Annually",EDATE(B185,12),EDATE(B185,1)))</f>
        <v>51102</v>
      </c>
      <c r="C186" s="230" t="n">
        <f aca="false">IF(ISERROR(A186),"",C185+IF($D$9="Monthly",1/12,1))</f>
        <v>74.2166666666662</v>
      </c>
      <c r="D186" s="231" t="n">
        <f aca="false">IF(L185&lt;&gt;1, IF(G185&lt;E185,0,D185),IF(L185=1,IFERROR(ROUND(IF($G185 - (E185 * 6) &lt; 0, D185, ($G185 - (E185 * 6)) * $D$8 / 12),2),0) ) )</f>
        <v>20.14</v>
      </c>
      <c r="E186" s="231" t="n">
        <f aca="false">IF(ISERROR(A186), 0,  MAX(0,   MIN(    ROUND(G185 + D186, 2),    ROUND(FV($S$5, IF(type=1, A186, A185), , IF(J186&lt;&gt;1, -$D$20, -$P$16 + P186), 2), 0)   )  ) )</f>
        <v>24</v>
      </c>
      <c r="F186" s="231" t="n">
        <f aca="false">IF(J186&lt;&gt;1, "", IF(J185&lt;&gt;0, F185, $K$12))</f>
        <v>1</v>
      </c>
      <c r="G186" s="232" t="n">
        <f aca="false">IF(ISERROR(A186),"",ROUND(G185-E186+D186,2))</f>
        <v>4935.09</v>
      </c>
      <c r="H186" s="237" t="n">
        <f aca="false">IF(G186&gt;0,IFERROR(H185+(H185*($D$16/12)),""),"")</f>
        <v>23.9407915560136</v>
      </c>
      <c r="I186" s="223" t="n">
        <f aca="false">IF(ISERROR(A187),"",12 - MONTH(B186))</f>
        <v>1</v>
      </c>
      <c r="J186" s="224" t="n">
        <f aca="false">K186</f>
        <v>1</v>
      </c>
      <c r="K186" s="225" t="n">
        <f aca="false">_xlfn.IFNA(IF(B186&gt;=$K$11, 1,0),0)</f>
        <v>1</v>
      </c>
      <c r="L186" s="60" t="str">
        <f aca="false">IF(I186=0,1,"")</f>
        <v/>
      </c>
      <c r="P186" s="4" t="n">
        <f aca="false">IF(AND(G186&gt;E186, A186&lt;&gt;0, V186&lt;&gt;0), $N$5 * ($P$22 ^ V186 - 1), 0)</f>
        <v>0</v>
      </c>
      <c r="V186" s="71" t="n">
        <f aca="false">IF(B186&lt;EDATE($K$11,12), 0,  DATEDIF(EDATE($K$11,12), B186 + 1, "y") + 1 )</f>
        <v>8</v>
      </c>
    </row>
    <row r="187" customFormat="false" ht="12.75" hidden="false" customHeight="true" outlineLevel="0" collapsed="false">
      <c r="A187" s="228" t="n">
        <f aca="false">IF(OR(G186="",G186&lt;=0,C186&gt;150),NA(),A186+1)</f>
        <v>159</v>
      </c>
      <c r="B187" s="229" t="n">
        <f aca="false">IF(ISERROR(A187),"",IF($D$9="Annually",EDATE(B186,12),EDATE(B186,1)))</f>
        <v>51132</v>
      </c>
      <c r="C187" s="230" t="n">
        <f aca="false">IF(ISERROR(A187),"",C186+IF($D$9="Monthly",1/12,1))</f>
        <v>74.2999999999995</v>
      </c>
      <c r="D187" s="231" t="n">
        <f aca="false">IF(L186&lt;&gt;1, IF(G186&lt;E186,0,D186),IF(L186=1,IFERROR(ROUND(IF($G186 - (E186 * 6) &lt; 0, D186, ($G186 - (E186 * 6)) * $D$8 / 12),2),0) ) )</f>
        <v>20.14</v>
      </c>
      <c r="E187" s="231" t="n">
        <f aca="false">IF(ISERROR(A187), 0,  MAX(0,   MIN(    ROUND(G186 + D187, 2),    ROUND(FV($S$5, IF(type=1, A187, A186), , IF(J187&lt;&gt;1, -$D$20, -$P$16 + P187), 2), 0)   )  ) )</f>
        <v>24</v>
      </c>
      <c r="F187" s="231" t="n">
        <f aca="false">IF(J187&lt;&gt;1, "", IF(J186&lt;&gt;0, F186, $K$12))</f>
        <v>1</v>
      </c>
      <c r="G187" s="232" t="n">
        <f aca="false">IF(ISERROR(A187),"",ROUND(G186-E187+D187,2))</f>
        <v>4931.23</v>
      </c>
      <c r="H187" s="237" t="n">
        <f aca="false">IF(G187&gt;0,IFERROR(H186+(H186*($D$16/12)),""),"")</f>
        <v>23.9806928752736</v>
      </c>
      <c r="I187" s="223" t="n">
        <f aca="false">IF(ISERROR(A188),"",12 - MONTH(B187))</f>
        <v>0</v>
      </c>
      <c r="J187" s="224" t="n">
        <f aca="false">K187</f>
        <v>1</v>
      </c>
      <c r="K187" s="225" t="n">
        <f aca="false">_xlfn.IFNA(IF(B187&gt;=$K$11, 1,0),0)</f>
        <v>1</v>
      </c>
      <c r="L187" s="60" t="n">
        <f aca="false">IF(I187=0,1,"")</f>
        <v>1</v>
      </c>
      <c r="P187" s="4" t="n">
        <f aca="false">IF(AND(G187&gt;E187, A187&lt;&gt;0, V187&lt;&gt;0), $N$5 * ($P$22 ^ V187 - 1), 0)</f>
        <v>0</v>
      </c>
      <c r="V187" s="71" t="n">
        <f aca="false">IF(B187&lt;EDATE($K$11,12), 0,  DATEDIF(EDATE($K$11,12), B187 + 1, "y") + 1 )</f>
        <v>8</v>
      </c>
    </row>
    <row r="188" customFormat="false" ht="12.75" hidden="false" customHeight="true" outlineLevel="0" collapsed="false">
      <c r="A188" s="228" t="n">
        <f aca="false">IF(OR(G187="",G187&lt;=0,C187&gt;150),NA(),A187+1)</f>
        <v>160</v>
      </c>
      <c r="B188" s="229" t="n">
        <f aca="false">IF(ISERROR(A188),"",IF($D$9="Annually",EDATE(B187,12),EDATE(B187,1)))</f>
        <v>51163</v>
      </c>
      <c r="C188" s="230" t="n">
        <f aca="false">IF(ISERROR(A188),"",C187+IF($D$9="Monthly",1/12,1))</f>
        <v>74.3833333333328</v>
      </c>
      <c r="D188" s="231" t="n">
        <f aca="false">IF(L187&lt;&gt;1, IF(G187&lt;E187,0,D187),IF(L187=1,IFERROR(ROUND(IF($G187 - (E187 * 6) &lt; 0, D187, ($G187 - (E187 * 6)) * $D$8 / 12),2),0) ) )</f>
        <v>19.95</v>
      </c>
      <c r="E188" s="231" t="n">
        <f aca="false">IF(ISERROR(A188), 0,  MAX(0,   MIN(    ROUND(G187 + D188, 2),    ROUND(FV($S$5, IF(type=1, A188, A187), , IF(J188&lt;&gt;1, -$D$20, -$P$16 + P188), 2), 0)   )  ) )</f>
        <v>24</v>
      </c>
      <c r="F188" s="231" t="n">
        <f aca="false">IF(J188&lt;&gt;1, "", IF(J187&lt;&gt;0, F187, $K$12))</f>
        <v>1</v>
      </c>
      <c r="G188" s="232" t="n">
        <f aca="false">IF(ISERROR(A188),"",ROUND(G187-E188+D188,2))</f>
        <v>4927.18</v>
      </c>
      <c r="H188" s="237" t="n">
        <f aca="false">IF(G188&gt;0,IFERROR(H187+(H187*($D$16/12)),""),"")</f>
        <v>24.0206606967324</v>
      </c>
      <c r="I188" s="223" t="n">
        <f aca="false">IF(ISERROR(A189),"",12 - MONTH(B188))</f>
        <v>11</v>
      </c>
      <c r="J188" s="224" t="n">
        <f aca="false">K188</f>
        <v>1</v>
      </c>
      <c r="K188" s="225" t="n">
        <f aca="false">_xlfn.IFNA(IF(B188&gt;=$K$11, 1,0),0)</f>
        <v>1</v>
      </c>
      <c r="L188" s="60" t="str">
        <f aca="false">IF(I188=0,1,"")</f>
        <v/>
      </c>
      <c r="P188" s="4" t="n">
        <f aca="false">IF(AND(G188&gt;E188, A188&lt;&gt;0, V188&lt;&gt;0), $N$5 * ($P$22 ^ V188 - 1), 0)</f>
        <v>0</v>
      </c>
      <c r="V188" s="71" t="n">
        <f aca="false">IF(B188&lt;EDATE($K$11,12), 0,  DATEDIF(EDATE($K$11,12), B188 + 1, "y") + 1 )</f>
        <v>9</v>
      </c>
    </row>
    <row r="189" customFormat="false" ht="12.75" hidden="false" customHeight="true" outlineLevel="0" collapsed="false">
      <c r="A189" s="228" t="n">
        <f aca="false">IF(OR(G188="",G188&lt;=0,C188&gt;150),NA(),A188+1)</f>
        <v>161</v>
      </c>
      <c r="B189" s="229" t="n">
        <f aca="false">IF(ISERROR(A189),"",IF($D$9="Annually",EDATE(B188,12),EDATE(B188,1)))</f>
        <v>51194</v>
      </c>
      <c r="C189" s="230" t="n">
        <f aca="false">IF(ISERROR(A189),"",C188+IF($D$9="Monthly",1/12,1))</f>
        <v>74.4666666666662</v>
      </c>
      <c r="D189" s="231" t="n">
        <f aca="false">IF(L188&lt;&gt;1, IF(G188&lt;E188,0,D188),IF(L188=1,IFERROR(ROUND(IF($G188 - (E188 * 6) &lt; 0, D188, ($G188 - (E188 * 6)) * $D$8 / 12),2),0) ) )</f>
        <v>19.95</v>
      </c>
      <c r="E189" s="231" t="n">
        <f aca="false">IF(ISERROR(A189), 0,  MAX(0,   MIN(    ROUND(G188 + D189, 2),    ROUND(FV($S$5, IF(type=1, A189, A188), , IF(J189&lt;&gt;1, -$D$20, -$P$16 + P189), 2), 0)   )  ) )</f>
        <v>25</v>
      </c>
      <c r="F189" s="231" t="n">
        <f aca="false">IF(J189&lt;&gt;1, "", IF(J188&lt;&gt;0, F188, $K$12))</f>
        <v>1</v>
      </c>
      <c r="G189" s="232" t="n">
        <f aca="false">IF(ISERROR(A189),"",ROUND(G188-E189+D189,2))</f>
        <v>4922.13</v>
      </c>
      <c r="H189" s="237" t="n">
        <f aca="false">IF(G189&gt;0,IFERROR(H188+(H188*($D$16/12)),""),"")</f>
        <v>24.060695131227</v>
      </c>
      <c r="I189" s="223" t="n">
        <f aca="false">IF(ISERROR(A190),"",12 - MONTH(B189))</f>
        <v>10</v>
      </c>
      <c r="J189" s="224" t="n">
        <f aca="false">K189</f>
        <v>1</v>
      </c>
      <c r="K189" s="225" t="n">
        <f aca="false">_xlfn.IFNA(IF(B189&gt;=$K$11, 1,0),0)</f>
        <v>1</v>
      </c>
      <c r="L189" s="60" t="str">
        <f aca="false">IF(I189=0,1,"")</f>
        <v/>
      </c>
      <c r="P189" s="4" t="n">
        <f aca="false">IF(AND(G189&gt;E189, A189&lt;&gt;0, V189&lt;&gt;0), $N$5 * ($P$22 ^ V189 - 1), 0)</f>
        <v>0</v>
      </c>
      <c r="V189" s="71" t="n">
        <f aca="false">IF(B189&lt;EDATE($K$11,12), 0,  DATEDIF(EDATE($K$11,12), B189 + 1, "y") + 1 )</f>
        <v>9</v>
      </c>
    </row>
    <row r="190" customFormat="false" ht="12.75" hidden="false" customHeight="true" outlineLevel="0" collapsed="false">
      <c r="A190" s="228" t="n">
        <f aca="false">IF(OR(G189="",G189&lt;=0,C189&gt;150),NA(),A189+1)</f>
        <v>162</v>
      </c>
      <c r="B190" s="229" t="n">
        <f aca="false">IF(ISERROR(A190),"",IF($D$9="Annually",EDATE(B189,12),EDATE(B189,1)))</f>
        <v>51223</v>
      </c>
      <c r="C190" s="230" t="n">
        <f aca="false">IF(ISERROR(A190),"",C189+IF($D$9="Monthly",1/12,1))</f>
        <v>74.5499999999995</v>
      </c>
      <c r="D190" s="231" t="n">
        <f aca="false">IF(L189&lt;&gt;1, IF(G189&lt;E189,0,D189),IF(L189=1,IFERROR(ROUND(IF($G189 - (E189 * 6) &lt; 0, D189, ($G189 - (E189 * 6)) * $D$8 / 12),2),0) ) )</f>
        <v>19.95</v>
      </c>
      <c r="E190" s="231" t="n">
        <f aca="false">IF(ISERROR(A190), 0,  MAX(0,   MIN(    ROUND(G189 + D190, 2),    ROUND(FV($S$5, IF(type=1, A190, A189), , IF(J190&lt;&gt;1, -$D$20, -$P$16 + P190), 2), 0)   )  ) )</f>
        <v>25</v>
      </c>
      <c r="F190" s="231" t="n">
        <f aca="false">IF(J190&lt;&gt;1, "", IF(J189&lt;&gt;0, F189, $K$12))</f>
        <v>1</v>
      </c>
      <c r="G190" s="232" t="n">
        <f aca="false">IF(ISERROR(A190),"",ROUND(G189-E190+D190,2))</f>
        <v>4917.08</v>
      </c>
      <c r="H190" s="237" t="n">
        <f aca="false">IF(G190&gt;0,IFERROR(H189+(H189*($D$16/12)),""),"")</f>
        <v>24.100796289779</v>
      </c>
      <c r="I190" s="223" t="n">
        <f aca="false">IF(ISERROR(A191),"",12 - MONTH(B190))</f>
        <v>9</v>
      </c>
      <c r="J190" s="224" t="n">
        <f aca="false">K190</f>
        <v>1</v>
      </c>
      <c r="K190" s="225" t="n">
        <f aca="false">_xlfn.IFNA(IF(B190&gt;=$K$11, 1,0),0)</f>
        <v>1</v>
      </c>
      <c r="L190" s="60" t="str">
        <f aca="false">IF(I190=0,1,"")</f>
        <v/>
      </c>
      <c r="P190" s="4" t="n">
        <f aca="false">IF(AND(G190&gt;E190, A190&lt;&gt;0, V190&lt;&gt;0), $N$5 * ($P$22 ^ V190 - 1), 0)</f>
        <v>0</v>
      </c>
      <c r="V190" s="71" t="n">
        <f aca="false">IF(B190&lt;EDATE($K$11,12), 0,  DATEDIF(EDATE($K$11,12), B190 + 1, "y") + 1 )</f>
        <v>9</v>
      </c>
    </row>
    <row r="191" customFormat="false" ht="12.75" hidden="false" customHeight="true" outlineLevel="0" collapsed="false">
      <c r="A191" s="228" t="n">
        <f aca="false">IF(OR(G190="",G190&lt;=0,C190&gt;150),NA(),A190+1)</f>
        <v>163</v>
      </c>
      <c r="B191" s="229" t="n">
        <f aca="false">IF(ISERROR(A191),"",IF($D$9="Annually",EDATE(B190,12),EDATE(B190,1)))</f>
        <v>51254</v>
      </c>
      <c r="C191" s="230" t="n">
        <f aca="false">IF(ISERROR(A191),"",C190+IF($D$9="Monthly",1/12,1))</f>
        <v>74.6333333333328</v>
      </c>
      <c r="D191" s="231" t="n">
        <f aca="false">IF(L190&lt;&gt;1, IF(G190&lt;E190,0,D190),IF(L190=1,IFERROR(ROUND(IF($G190 - (E190 * 6) &lt; 0, D190, ($G190 - (E190 * 6)) * $D$8 / 12),2),0) ) )</f>
        <v>19.95</v>
      </c>
      <c r="E191" s="231" t="n">
        <f aca="false">IF(ISERROR(A191), 0,  MAX(0,   MIN(    ROUND(G190 + D191, 2),    ROUND(FV($S$5, IF(type=1, A191, A190), , IF(J191&lt;&gt;1, -$D$20, -$P$16 + P191), 2), 0)   )  ) )</f>
        <v>25</v>
      </c>
      <c r="F191" s="231" t="n">
        <f aca="false">IF(J191&lt;&gt;1, "", IF(J190&lt;&gt;0, F190, $K$12))</f>
        <v>1</v>
      </c>
      <c r="G191" s="232" t="n">
        <f aca="false">IF(ISERROR(A191),"",ROUND(G190-E191+D191,2))</f>
        <v>4912.03</v>
      </c>
      <c r="H191" s="237" t="n">
        <f aca="false">IF(G191&gt;0,IFERROR(H190+(H190*($D$16/12)),""),"")</f>
        <v>24.1409642835953</v>
      </c>
      <c r="I191" s="223" t="n">
        <f aca="false">IF(ISERROR(A192),"",12 - MONTH(B191))</f>
        <v>8</v>
      </c>
      <c r="J191" s="224" t="n">
        <f aca="false">K191</f>
        <v>1</v>
      </c>
      <c r="K191" s="225" t="n">
        <f aca="false">_xlfn.IFNA(IF(B191&gt;=$K$11, 1,0),0)</f>
        <v>1</v>
      </c>
      <c r="L191" s="60" t="str">
        <f aca="false">IF(I191=0,1,"")</f>
        <v/>
      </c>
      <c r="P191" s="4" t="n">
        <f aca="false">IF(AND(G191&gt;E191, A191&lt;&gt;0, V191&lt;&gt;0), $N$5 * ($P$22 ^ V191 - 1), 0)</f>
        <v>0</v>
      </c>
      <c r="V191" s="71" t="n">
        <f aca="false">IF(B191&lt;EDATE($K$11,12), 0,  DATEDIF(EDATE($K$11,12), B191 + 1, "y") + 1 )</f>
        <v>9</v>
      </c>
    </row>
    <row r="192" customFormat="false" ht="12.75" hidden="false" customHeight="true" outlineLevel="0" collapsed="false">
      <c r="A192" s="228" t="n">
        <f aca="false">IF(OR(G191="",G191&lt;=0,C191&gt;150),NA(),A191+1)</f>
        <v>164</v>
      </c>
      <c r="B192" s="229" t="n">
        <f aca="false">IF(ISERROR(A192),"",IF($D$9="Annually",EDATE(B191,12),EDATE(B191,1)))</f>
        <v>51284</v>
      </c>
      <c r="C192" s="230" t="n">
        <f aca="false">IF(ISERROR(A192),"",C191+IF($D$9="Monthly",1/12,1))</f>
        <v>74.7166666666661</v>
      </c>
      <c r="D192" s="231" t="n">
        <f aca="false">IF(L191&lt;&gt;1, IF(G191&lt;E191,0,D191),IF(L191=1,IFERROR(ROUND(IF($G191 - (E191 * 6) &lt; 0, D191, ($G191 - (E191 * 6)) * $D$8 / 12),2),0) ) )</f>
        <v>19.95</v>
      </c>
      <c r="E192" s="231" t="n">
        <f aca="false">IF(ISERROR(A192), 0,  MAX(0,   MIN(    ROUND(G191 + D192, 2),    ROUND(FV($S$5, IF(type=1, A192, A191), , IF(J192&lt;&gt;1, -$D$20, -$P$16 + P192), 2), 0)   )  ) )</f>
        <v>25</v>
      </c>
      <c r="F192" s="231" t="n">
        <f aca="false">IF(J192&lt;&gt;1, "", IF(J191&lt;&gt;0, F191, $K$12))</f>
        <v>1</v>
      </c>
      <c r="G192" s="232" t="n">
        <f aca="false">IF(ISERROR(A192),"",ROUND(G191-E192+D192,2))</f>
        <v>4906.98</v>
      </c>
      <c r="H192" s="237" t="n">
        <f aca="false">IF(G192&gt;0,IFERROR(H191+(H191*($D$16/12)),""),"")</f>
        <v>24.181199224068</v>
      </c>
      <c r="I192" s="223" t="n">
        <f aca="false">IF(ISERROR(A193),"",12 - MONTH(B192))</f>
        <v>7</v>
      </c>
      <c r="J192" s="224" t="n">
        <f aca="false">K192</f>
        <v>1</v>
      </c>
      <c r="K192" s="225" t="n">
        <f aca="false">_xlfn.IFNA(IF(B192&gt;=$K$11, 1,0),0)</f>
        <v>1</v>
      </c>
      <c r="L192" s="60" t="str">
        <f aca="false">IF(I192=0,1,"")</f>
        <v/>
      </c>
      <c r="P192" s="4" t="n">
        <f aca="false">IF(AND(G192&gt;E192, A192&lt;&gt;0, V192&lt;&gt;0), $N$5 * ($P$22 ^ V192 - 1), 0)</f>
        <v>0</v>
      </c>
      <c r="V192" s="71" t="n">
        <f aca="false">IF(B192&lt;EDATE($K$11,12), 0,  DATEDIF(EDATE($K$11,12), B192 + 1, "y") + 1 )</f>
        <v>9</v>
      </c>
    </row>
    <row r="193" customFormat="false" ht="12.75" hidden="false" customHeight="true" outlineLevel="0" collapsed="false">
      <c r="A193" s="228" t="n">
        <f aca="false">IF(OR(G192="",G192&lt;=0,C192&gt;150),NA(),A192+1)</f>
        <v>165</v>
      </c>
      <c r="B193" s="229" t="n">
        <f aca="false">IF(ISERROR(A193),"",IF($D$9="Annually",EDATE(B192,12),EDATE(B192,1)))</f>
        <v>51315</v>
      </c>
      <c r="C193" s="230" t="n">
        <f aca="false">IF(ISERROR(A193),"",C192+IF($D$9="Monthly",1/12,1))</f>
        <v>74.7999999999995</v>
      </c>
      <c r="D193" s="231" t="n">
        <f aca="false">IF(L192&lt;&gt;1, IF(G192&lt;E192,0,D192),IF(L192=1,IFERROR(ROUND(IF($G192 - (E192 * 6) &lt; 0, D192, ($G192 - (E192 * 6)) * $D$8 / 12),2),0) ) )</f>
        <v>19.95</v>
      </c>
      <c r="E193" s="231" t="n">
        <f aca="false">IF(ISERROR(A193), 0,  MAX(0,   MIN(    ROUND(G192 + D193, 2),    ROUND(FV($S$5, IF(type=1, A193, A192), , IF(J193&lt;&gt;1, -$D$20, -$P$16 + P193), 2), 0)   )  ) )</f>
        <v>25</v>
      </c>
      <c r="F193" s="231" t="n">
        <f aca="false">IF(J193&lt;&gt;1, "", IF(J192&lt;&gt;0, F192, $K$12))</f>
        <v>1</v>
      </c>
      <c r="G193" s="232" t="n">
        <f aca="false">IF(ISERROR(A193),"",ROUND(G192-E193+D193,2))</f>
        <v>4901.93</v>
      </c>
      <c r="H193" s="237" t="n">
        <f aca="false">IF(G193&gt;0,IFERROR(H192+(H192*($D$16/12)),""),"")</f>
        <v>24.2215012227748</v>
      </c>
      <c r="I193" s="223" t="n">
        <f aca="false">IF(ISERROR(A194),"",12 - MONTH(B193))</f>
        <v>6</v>
      </c>
      <c r="J193" s="224" t="n">
        <f aca="false">K193</f>
        <v>1</v>
      </c>
      <c r="K193" s="225" t="n">
        <f aca="false">_xlfn.IFNA(IF(B193&gt;=$K$11, 1,0),0)</f>
        <v>1</v>
      </c>
      <c r="L193" s="60" t="str">
        <f aca="false">IF(I193=0,1,"")</f>
        <v/>
      </c>
      <c r="P193" s="4" t="n">
        <f aca="false">IF(AND(G193&gt;E193, A193&lt;&gt;0, V193&lt;&gt;0), $N$5 * ($P$22 ^ V193 - 1), 0)</f>
        <v>0</v>
      </c>
      <c r="V193" s="71" t="n">
        <f aca="false">IF(B193&lt;EDATE($K$11,12), 0,  DATEDIF(EDATE($K$11,12), B193 + 1, "y") + 1 )</f>
        <v>9</v>
      </c>
    </row>
    <row r="194" customFormat="false" ht="12.75" hidden="false" customHeight="true" outlineLevel="0" collapsed="false">
      <c r="A194" s="228" t="n">
        <f aca="false">IF(OR(G193="",G193&lt;=0,C193&gt;150),NA(),A193+1)</f>
        <v>166</v>
      </c>
      <c r="B194" s="229" t="n">
        <f aca="false">IF(ISERROR(A194),"",IF($D$9="Annually",EDATE(B193,12),EDATE(B193,1)))</f>
        <v>51345</v>
      </c>
      <c r="C194" s="230" t="n">
        <f aca="false">IF(ISERROR(A194),"",C193+IF($D$9="Monthly",1/12,1))</f>
        <v>74.8833333333328</v>
      </c>
      <c r="D194" s="231" t="n">
        <f aca="false">IF(L193&lt;&gt;1, IF(G193&lt;E193,0,D193),IF(L193=1,IFERROR(ROUND(IF($G193 - (E193 * 6) &lt; 0, D193, ($G193 - (E193 * 6)) * $D$8 / 12),2),0) ) )</f>
        <v>19.95</v>
      </c>
      <c r="E194" s="231" t="n">
        <f aca="false">IF(ISERROR(A194), 0,  MAX(0,   MIN(    ROUND(G193 + D194, 2),    ROUND(FV($S$5, IF(type=1, A194, A193), , IF(J194&lt;&gt;1, -$D$20, -$P$16 + P194), 2), 0)   )  ) )</f>
        <v>25</v>
      </c>
      <c r="F194" s="231" t="n">
        <f aca="false">IF(J194&lt;&gt;1, "", IF(J193&lt;&gt;0, F193, $K$12))</f>
        <v>1</v>
      </c>
      <c r="G194" s="232" t="n">
        <f aca="false">IF(ISERROR(A194),"",ROUND(G193-E194+D194,2))</f>
        <v>4896.88</v>
      </c>
      <c r="H194" s="237" t="n">
        <f aca="false">IF(G194&gt;0,IFERROR(H193+(H193*($D$16/12)),""),"")</f>
        <v>24.2618703914794</v>
      </c>
      <c r="I194" s="223" t="n">
        <f aca="false">IF(ISERROR(A195),"",12 - MONTH(B194))</f>
        <v>5</v>
      </c>
      <c r="J194" s="224" t="n">
        <f aca="false">K194</f>
        <v>1</v>
      </c>
      <c r="K194" s="225" t="n">
        <f aca="false">_xlfn.IFNA(IF(B194&gt;=$K$11, 1,0),0)</f>
        <v>1</v>
      </c>
      <c r="L194" s="60" t="str">
        <f aca="false">IF(I194=0,1,"")</f>
        <v/>
      </c>
      <c r="P194" s="4" t="n">
        <f aca="false">IF(AND(G194&gt;E194, A194&lt;&gt;0, V194&lt;&gt;0), $N$5 * ($P$22 ^ V194 - 1), 0)</f>
        <v>0</v>
      </c>
      <c r="V194" s="71" t="n">
        <f aca="false">IF(B194&lt;EDATE($K$11,12), 0,  DATEDIF(EDATE($K$11,12), B194 + 1, "y") + 1 )</f>
        <v>9</v>
      </c>
    </row>
    <row r="195" customFormat="false" ht="12.75" hidden="false" customHeight="true" outlineLevel="0" collapsed="false">
      <c r="A195" s="228" t="n">
        <f aca="false">IF(OR(G194="",G194&lt;=0,C194&gt;150),NA(),A194+1)</f>
        <v>167</v>
      </c>
      <c r="B195" s="229" t="n">
        <f aca="false">IF(ISERROR(A195),"",IF($D$9="Annually",EDATE(B194,12),EDATE(B194,1)))</f>
        <v>51376</v>
      </c>
      <c r="C195" s="230" t="n">
        <f aca="false">IF(ISERROR(A195),"",C194+IF($D$9="Monthly",1/12,1))</f>
        <v>74.9666666666661</v>
      </c>
      <c r="D195" s="231" t="n">
        <f aca="false">IF(L194&lt;&gt;1, IF(G194&lt;E194,0,D194),IF(L194=1,IFERROR(ROUND(IF($G194 - (E194 * 6) &lt; 0, D194, ($G194 - (E194 * 6)) * $D$8 / 12),2),0) ) )</f>
        <v>19.95</v>
      </c>
      <c r="E195" s="231" t="n">
        <f aca="false">IF(ISERROR(A195), 0,  MAX(0,   MIN(    ROUND(G194 + D195, 2),    ROUND(FV($S$5, IF(type=1, A195, A194), , IF(J195&lt;&gt;1, -$D$20, -$P$16 + P195), 2), 0)   )  ) )</f>
        <v>25</v>
      </c>
      <c r="F195" s="231" t="n">
        <f aca="false">IF(J195&lt;&gt;1, "", IF(J194&lt;&gt;0, F194, $K$12))</f>
        <v>1</v>
      </c>
      <c r="G195" s="232" t="n">
        <f aca="false">IF(ISERROR(A195),"",ROUND(G194-E195+D195,2))</f>
        <v>4891.83</v>
      </c>
      <c r="H195" s="237" t="n">
        <f aca="false">IF(G195&gt;0,IFERROR(H194+(H194*($D$16/12)),""),"")</f>
        <v>24.3023068421319</v>
      </c>
      <c r="I195" s="223" t="n">
        <f aca="false">IF(ISERROR(A196),"",12 - MONTH(B195))</f>
        <v>4</v>
      </c>
      <c r="J195" s="224" t="n">
        <f aca="false">K195</f>
        <v>1</v>
      </c>
      <c r="K195" s="225" t="n">
        <f aca="false">_xlfn.IFNA(IF(B195&gt;=$K$11, 1,0),0)</f>
        <v>1</v>
      </c>
      <c r="L195" s="60" t="str">
        <f aca="false">IF(I195=0,1,"")</f>
        <v/>
      </c>
      <c r="P195" s="4" t="n">
        <f aca="false">IF(AND(G195&gt;E195, A195&lt;&gt;0, V195&lt;&gt;0), $N$5 * ($P$22 ^ V195 - 1), 0)</f>
        <v>0</v>
      </c>
      <c r="V195" s="71" t="n">
        <f aca="false">IF(B195&lt;EDATE($K$11,12), 0,  DATEDIF(EDATE($K$11,12), B195 + 1, "y") + 1 )</f>
        <v>9</v>
      </c>
    </row>
    <row r="196" customFormat="false" ht="12.75" hidden="false" customHeight="true" outlineLevel="0" collapsed="false">
      <c r="A196" s="228" t="n">
        <f aca="false">IF(OR(G195="",G195&lt;=0,C195&gt;150),NA(),A195+1)</f>
        <v>168</v>
      </c>
      <c r="B196" s="229" t="n">
        <f aca="false">IF(ISERROR(A196),"",IF($D$9="Annually",EDATE(B195,12),EDATE(B195,1)))</f>
        <v>51407</v>
      </c>
      <c r="C196" s="230" t="n">
        <f aca="false">IF(ISERROR(A196),"",C195+IF($D$9="Monthly",1/12,1))</f>
        <v>75.0499999999995</v>
      </c>
      <c r="D196" s="231" t="n">
        <f aca="false">IF(L195&lt;&gt;1, IF(G195&lt;E195,0,D195),IF(L195=1,IFERROR(ROUND(IF($G195 - (E195 * 6) &lt; 0, D195, ($G195 - (E195 * 6)) * $D$8 / 12),2),0) ) )</f>
        <v>19.95</v>
      </c>
      <c r="E196" s="231" t="n">
        <f aca="false">IF(ISERROR(A196), 0,  MAX(0,   MIN(    ROUND(G195 + D196, 2),    ROUND(FV($S$5, IF(type=1, A196, A195), , IF(J196&lt;&gt;1, -$D$20, -$P$16 + P196), 2), 0)   )  ) )</f>
        <v>25</v>
      </c>
      <c r="F196" s="231" t="n">
        <f aca="false">IF(J196&lt;&gt;1, "", IF(J195&lt;&gt;0, F195, $K$12))</f>
        <v>1</v>
      </c>
      <c r="G196" s="232" t="n">
        <f aca="false">IF(ISERROR(A196),"",ROUND(G195-E196+D196,2))</f>
        <v>4886.78</v>
      </c>
      <c r="H196" s="237" t="n">
        <f aca="false">IF(G196&gt;0,IFERROR(H195+(H195*($D$16/12)),""),"")</f>
        <v>24.3428106868687</v>
      </c>
      <c r="I196" s="223" t="n">
        <f aca="false">IF(ISERROR(A197),"",12 - MONTH(B196))</f>
        <v>3</v>
      </c>
      <c r="J196" s="224" t="n">
        <f aca="false">K196</f>
        <v>1</v>
      </c>
      <c r="K196" s="225" t="n">
        <f aca="false">_xlfn.IFNA(IF(B196&gt;=$K$11, 1,0),0)</f>
        <v>1</v>
      </c>
      <c r="L196" s="60" t="str">
        <f aca="false">IF(I196=0,1,"")</f>
        <v/>
      </c>
      <c r="P196" s="4" t="n">
        <f aca="false">IF(AND(G196&gt;E196, A196&lt;&gt;0, V196&lt;&gt;0), $N$5 * ($P$22 ^ V196 - 1), 0)</f>
        <v>0</v>
      </c>
      <c r="V196" s="71" t="n">
        <f aca="false">IF(B196&lt;EDATE($K$11,12), 0,  DATEDIF(EDATE($K$11,12), B196 + 1, "y") + 1 )</f>
        <v>9</v>
      </c>
    </row>
    <row r="197" customFormat="false" ht="12.75" hidden="false" customHeight="true" outlineLevel="0" collapsed="false">
      <c r="A197" s="228" t="n">
        <f aca="false">IF(OR(G196="",G196&lt;=0,C196&gt;150),NA(),A196+1)</f>
        <v>169</v>
      </c>
      <c r="B197" s="229" t="n">
        <f aca="false">IF(ISERROR(A197),"",IF($D$9="Annually",EDATE(B196,12),EDATE(B196,1)))</f>
        <v>51437</v>
      </c>
      <c r="C197" s="230" t="n">
        <f aca="false">IF(ISERROR(A197),"",C196+IF($D$9="Monthly",1/12,1))</f>
        <v>75.1333333333328</v>
      </c>
      <c r="D197" s="231" t="n">
        <f aca="false">IF(L196&lt;&gt;1, IF(G196&lt;E196,0,D196),IF(L196=1,IFERROR(ROUND(IF($G196 - (E196 * 6) &lt; 0, D196, ($G196 - (E196 * 6)) * $D$8 / 12),2),0) ) )</f>
        <v>19.95</v>
      </c>
      <c r="E197" s="231" t="n">
        <f aca="false">IF(ISERROR(A197), 0,  MAX(0,   MIN(    ROUND(G196 + D197, 2),    ROUND(FV($S$5, IF(type=1, A197, A196), , IF(J197&lt;&gt;1, -$D$20, -$P$16 + P197), 2), 0)   )  ) )</f>
        <v>25</v>
      </c>
      <c r="F197" s="231" t="n">
        <f aca="false">IF(J197&lt;&gt;1, "", IF(J196&lt;&gt;0, F196, $K$12))</f>
        <v>1</v>
      </c>
      <c r="G197" s="232" t="n">
        <f aca="false">IF(ISERROR(A197),"",ROUND(G196-E197+D197,2))</f>
        <v>4881.73</v>
      </c>
      <c r="H197" s="237" t="n">
        <f aca="false">IF(G197&gt;0,IFERROR(H196+(H196*($D$16/12)),""),"")</f>
        <v>24.3833820380135</v>
      </c>
      <c r="I197" s="223" t="n">
        <f aca="false">IF(ISERROR(A198),"",12 - MONTH(B197))</f>
        <v>2</v>
      </c>
      <c r="J197" s="224" t="n">
        <f aca="false">K197</f>
        <v>1</v>
      </c>
      <c r="K197" s="225" t="n">
        <f aca="false">_xlfn.IFNA(IF(B197&gt;=$K$11, 1,0),0)</f>
        <v>1</v>
      </c>
      <c r="L197" s="60" t="str">
        <f aca="false">IF(I197=0,1,"")</f>
        <v/>
      </c>
      <c r="P197" s="4" t="n">
        <f aca="false">IF(AND(G197&gt;E197, A197&lt;&gt;0, V197&lt;&gt;0), $N$5 * ($P$22 ^ V197 - 1), 0)</f>
        <v>0</v>
      </c>
      <c r="V197" s="71" t="n">
        <f aca="false">IF(B197&lt;EDATE($K$11,12), 0,  DATEDIF(EDATE($K$11,12), B197 + 1, "y") + 1 )</f>
        <v>9</v>
      </c>
    </row>
    <row r="198" customFormat="false" ht="12.75" hidden="false" customHeight="true" outlineLevel="0" collapsed="false">
      <c r="A198" s="228" t="n">
        <f aca="false">IF(OR(G197="",G197&lt;=0,C197&gt;150),NA(),A197+1)</f>
        <v>170</v>
      </c>
      <c r="B198" s="229" t="n">
        <f aca="false">IF(ISERROR(A198),"",IF($D$9="Annually",EDATE(B197,12),EDATE(B197,1)))</f>
        <v>51468</v>
      </c>
      <c r="C198" s="230" t="n">
        <f aca="false">IF(ISERROR(A198),"",C197+IF($D$9="Monthly",1/12,1))</f>
        <v>75.2166666666661</v>
      </c>
      <c r="D198" s="231" t="n">
        <f aca="false">IF(L197&lt;&gt;1, IF(G197&lt;E197,0,D197),IF(L197=1,IFERROR(ROUND(IF($G197 - (E197 * 6) &lt; 0, D197, ($G197 - (E197 * 6)) * $D$8 / 12),2),0) ) )</f>
        <v>19.95</v>
      </c>
      <c r="E198" s="231" t="n">
        <f aca="false">IF(ISERROR(A198), 0,  MAX(0,   MIN(    ROUND(G197 + D198, 2),    ROUND(FV($S$5, IF(type=1, A198, A197), , IF(J198&lt;&gt;1, -$D$20, -$P$16 + P198), 2), 0)   )  ) )</f>
        <v>25</v>
      </c>
      <c r="F198" s="231" t="n">
        <f aca="false">IF(J198&lt;&gt;1, "", IF(J197&lt;&gt;0, F197, $K$12))</f>
        <v>1</v>
      </c>
      <c r="G198" s="232" t="n">
        <f aca="false">IF(ISERROR(A198),"",ROUND(G197-E198+D198,2))</f>
        <v>4876.68</v>
      </c>
      <c r="H198" s="237" t="n">
        <f aca="false">IF(G198&gt;0,IFERROR(H197+(H197*($D$16/12)),""),"")</f>
        <v>24.4240210080769</v>
      </c>
      <c r="I198" s="223" t="n">
        <f aca="false">IF(ISERROR(A199),"",12 - MONTH(B198))</f>
        <v>1</v>
      </c>
      <c r="J198" s="224" t="n">
        <f aca="false">K198</f>
        <v>1</v>
      </c>
      <c r="K198" s="225" t="n">
        <f aca="false">_xlfn.IFNA(IF(B198&gt;=$K$11, 1,0),0)</f>
        <v>1</v>
      </c>
      <c r="L198" s="60" t="str">
        <f aca="false">IF(I198=0,1,"")</f>
        <v/>
      </c>
      <c r="P198" s="4" t="n">
        <f aca="false">IF(AND(G198&gt;E198, A198&lt;&gt;0, V198&lt;&gt;0), $N$5 * ($P$22 ^ V198 - 1), 0)</f>
        <v>0</v>
      </c>
      <c r="V198" s="71" t="n">
        <f aca="false">IF(B198&lt;EDATE($K$11,12), 0,  DATEDIF(EDATE($K$11,12), B198 + 1, "y") + 1 )</f>
        <v>9</v>
      </c>
    </row>
    <row r="199" customFormat="false" ht="12.75" hidden="false" customHeight="true" outlineLevel="0" collapsed="false">
      <c r="A199" s="228" t="n">
        <f aca="false">IF(OR(G198="",G198&lt;=0,C198&gt;150),NA(),A198+1)</f>
        <v>171</v>
      </c>
      <c r="B199" s="229" t="n">
        <f aca="false">IF(ISERROR(A199),"",IF($D$9="Annually",EDATE(B198,12),EDATE(B198,1)))</f>
        <v>51498</v>
      </c>
      <c r="C199" s="230" t="n">
        <f aca="false">IF(ISERROR(A199),"",C198+IF($D$9="Monthly",1/12,1))</f>
        <v>75.2999999999994</v>
      </c>
      <c r="D199" s="231" t="n">
        <f aca="false">IF(L198&lt;&gt;1, IF(G198&lt;E198,0,D198),IF(L198=1,IFERROR(ROUND(IF($G198 - (E198 * 6) &lt; 0, D198, ($G198 - (E198 * 6)) * $D$8 / 12),2),0) ) )</f>
        <v>19.95</v>
      </c>
      <c r="E199" s="231" t="n">
        <f aca="false">IF(ISERROR(A199), 0,  MAX(0,   MIN(    ROUND(G198 + D199, 2),    ROUND(FV($S$5, IF(type=1, A199, A198), , IF(J199&lt;&gt;1, -$D$20, -$P$16 + P199), 2), 0)   )  ) )</f>
        <v>25</v>
      </c>
      <c r="F199" s="231" t="n">
        <f aca="false">IF(J199&lt;&gt;1, "", IF(J198&lt;&gt;0, F198, $K$12))</f>
        <v>1</v>
      </c>
      <c r="G199" s="232" t="n">
        <f aca="false">IF(ISERROR(A199),"",ROUND(G198-E199+D199,2))</f>
        <v>4871.63</v>
      </c>
      <c r="H199" s="237" t="n">
        <f aca="false">IF(G199&gt;0,IFERROR(H198+(H198*($D$16/12)),""),"")</f>
        <v>24.464727709757</v>
      </c>
      <c r="I199" s="223" t="n">
        <f aca="false">IF(ISERROR(A200),"",12 - MONTH(B199))</f>
        <v>0</v>
      </c>
      <c r="J199" s="224" t="n">
        <f aca="false">K199</f>
        <v>1</v>
      </c>
      <c r="K199" s="225" t="n">
        <f aca="false">_xlfn.IFNA(IF(B199&gt;=$K$11, 1,0),0)</f>
        <v>1</v>
      </c>
      <c r="L199" s="60" t="n">
        <f aca="false">IF(I199=0,1,"")</f>
        <v>1</v>
      </c>
      <c r="P199" s="4" t="n">
        <f aca="false">IF(AND(G199&gt;E199, A199&lt;&gt;0, V199&lt;&gt;0), $N$5 * ($P$22 ^ V199 - 1), 0)</f>
        <v>0</v>
      </c>
      <c r="V199" s="71" t="n">
        <f aca="false">IF(B199&lt;EDATE($K$11,12), 0,  DATEDIF(EDATE($K$11,12), B199 + 1, "y") + 1 )</f>
        <v>9</v>
      </c>
    </row>
    <row r="200" customFormat="false" ht="12.75" hidden="false" customHeight="true" outlineLevel="0" collapsed="false">
      <c r="A200" s="228" t="n">
        <f aca="false">IF(OR(G199="",G199&lt;=0,C199&gt;150),NA(),A199+1)</f>
        <v>172</v>
      </c>
      <c r="B200" s="229" t="n">
        <f aca="false">IF(ISERROR(A200),"",IF($D$9="Annually",EDATE(B199,12),EDATE(B199,1)))</f>
        <v>51529</v>
      </c>
      <c r="C200" s="230" t="n">
        <f aca="false">IF(ISERROR(A200),"",C199+IF($D$9="Monthly",1/12,1))</f>
        <v>75.3833333333328</v>
      </c>
      <c r="D200" s="231" t="n">
        <f aca="false">IF(L199&lt;&gt;1, IF(G199&lt;E199,0,D199),IF(L199=1,IFERROR(ROUND(IF($G199 - (E199 * 6) &lt; 0, D199, ($G199 - (E199 * 6)) * $D$8 / 12),2),0) ) )</f>
        <v>19.67</v>
      </c>
      <c r="E200" s="231" t="n">
        <f aca="false">IF(ISERROR(A200), 0,  MAX(0,   MIN(    ROUND(G199 + D200, 2),    ROUND(FV($S$5, IF(type=1, A200, A199), , IF(J200&lt;&gt;1, -$D$20, -$P$16 + P200), 2), 0)   )  ) )</f>
        <v>25</v>
      </c>
      <c r="F200" s="231" t="n">
        <f aca="false">IF(J200&lt;&gt;1, "", IF(J199&lt;&gt;0, F199, $K$12))</f>
        <v>1</v>
      </c>
      <c r="G200" s="232" t="n">
        <f aca="false">IF(ISERROR(A200),"",ROUND(G199-E200+D200,2))</f>
        <v>4866.3</v>
      </c>
      <c r="H200" s="237" t="n">
        <f aca="false">IF(G200&gt;0,IFERROR(H199+(H199*($D$16/12)),""),"")</f>
        <v>24.5055022559399</v>
      </c>
      <c r="I200" s="223" t="n">
        <f aca="false">IF(ISERROR(A201),"",12 - MONTH(B200))</f>
        <v>11</v>
      </c>
      <c r="J200" s="224" t="n">
        <f aca="false">K200</f>
        <v>1</v>
      </c>
      <c r="K200" s="225" t="n">
        <f aca="false">_xlfn.IFNA(IF(B200&gt;=$K$11, 1,0),0)</f>
        <v>1</v>
      </c>
      <c r="L200" s="60" t="str">
        <f aca="false">IF(I200=0,1,"")</f>
        <v/>
      </c>
      <c r="P200" s="4" t="n">
        <f aca="false">IF(AND(G200&gt;E200, A200&lt;&gt;0, V200&lt;&gt;0), $N$5 * ($P$22 ^ V200 - 1), 0)</f>
        <v>0</v>
      </c>
      <c r="V200" s="71" t="n">
        <f aca="false">IF(B200&lt;EDATE($K$11,12), 0,  DATEDIF(EDATE($K$11,12), B200 + 1, "y") + 1 )</f>
        <v>10</v>
      </c>
    </row>
    <row r="201" customFormat="false" ht="12.75" hidden="false" customHeight="true" outlineLevel="0" collapsed="false">
      <c r="A201" s="228" t="n">
        <f aca="false">IF(OR(G200="",G200&lt;=0,C200&gt;150),NA(),A200+1)</f>
        <v>173</v>
      </c>
      <c r="B201" s="229" t="n">
        <f aca="false">IF(ISERROR(A201),"",IF($D$9="Annually",EDATE(B200,12),EDATE(B200,1)))</f>
        <v>51560</v>
      </c>
      <c r="C201" s="230" t="n">
        <f aca="false">IF(ISERROR(A201),"",C200+IF($D$9="Monthly",1/12,1))</f>
        <v>75.4666666666661</v>
      </c>
      <c r="D201" s="231" t="n">
        <f aca="false">IF(L200&lt;&gt;1, IF(G200&lt;E200,0,D200),IF(L200=1,IFERROR(ROUND(IF($G200 - (E200 * 6) &lt; 0, D200, ($G200 - (E200 * 6)) * $D$8 / 12),2),0) ) )</f>
        <v>19.67</v>
      </c>
      <c r="E201" s="231" t="n">
        <f aca="false">IF(ISERROR(A201), 0,  MAX(0,   MIN(    ROUND(G200 + D201, 2),    ROUND(FV($S$5, IF(type=1, A201, A200), , IF(J201&lt;&gt;1, -$D$20, -$P$16 + P201), 2), 0)   )  ) )</f>
        <v>25</v>
      </c>
      <c r="F201" s="231" t="n">
        <f aca="false">IF(J201&lt;&gt;1, "", IF(J200&lt;&gt;0, F200, $K$12))</f>
        <v>1</v>
      </c>
      <c r="G201" s="232" t="n">
        <f aca="false">IF(ISERROR(A201),"",ROUND(G200-E201+D201,2))</f>
        <v>4860.97</v>
      </c>
      <c r="H201" s="237" t="n">
        <f aca="false">IF(G201&gt;0,IFERROR(H200+(H200*($D$16/12)),""),"")</f>
        <v>24.5463447596998</v>
      </c>
      <c r="I201" s="223" t="n">
        <f aca="false">IF(ISERROR(A202),"",12 - MONTH(B201))</f>
        <v>10</v>
      </c>
      <c r="J201" s="224" t="n">
        <f aca="false">K201</f>
        <v>1</v>
      </c>
      <c r="K201" s="225" t="n">
        <f aca="false">_xlfn.IFNA(IF(B201&gt;=$K$11, 1,0),0)</f>
        <v>1</v>
      </c>
      <c r="L201" s="60" t="str">
        <f aca="false">IF(I201=0,1,"")</f>
        <v/>
      </c>
      <c r="P201" s="4" t="n">
        <f aca="false">IF(AND(G201&gt;E201, A201&lt;&gt;0, V201&lt;&gt;0), $N$5 * ($P$22 ^ V201 - 1), 0)</f>
        <v>0</v>
      </c>
      <c r="V201" s="71" t="n">
        <f aca="false">IF(B201&lt;EDATE($K$11,12), 0,  DATEDIF(EDATE($K$11,12), B201 + 1, "y") + 1 )</f>
        <v>10</v>
      </c>
    </row>
    <row r="202" customFormat="false" ht="12.75" hidden="false" customHeight="true" outlineLevel="0" collapsed="false">
      <c r="A202" s="228" t="n">
        <f aca="false">IF(OR(G201="",G201&lt;=0,C201&gt;150),NA(),A201+1)</f>
        <v>174</v>
      </c>
      <c r="B202" s="229" t="n">
        <f aca="false">IF(ISERROR(A202),"",IF($D$9="Annually",EDATE(B201,12),EDATE(B201,1)))</f>
        <v>51588</v>
      </c>
      <c r="C202" s="230" t="n">
        <f aca="false">IF(ISERROR(A202),"",C201+IF($D$9="Monthly",1/12,1))</f>
        <v>75.5499999999994</v>
      </c>
      <c r="D202" s="231" t="n">
        <f aca="false">IF(L201&lt;&gt;1, IF(G201&lt;E201,0,D201),IF(L201=1,IFERROR(ROUND(IF($G201 - (E201 * 6) &lt; 0, D201, ($G201 - (E201 * 6)) * $D$8 / 12),2),0) ) )</f>
        <v>19.67</v>
      </c>
      <c r="E202" s="231" t="n">
        <f aca="false">IF(ISERROR(A202), 0,  MAX(0,   MIN(    ROUND(G201 + D202, 2),    ROUND(FV($S$5, IF(type=1, A202, A201), , IF(J202&lt;&gt;1, -$D$20, -$P$16 + P202), 2), 0)   )  ) )</f>
        <v>25</v>
      </c>
      <c r="F202" s="231" t="n">
        <f aca="false">IF(J202&lt;&gt;1, "", IF(J201&lt;&gt;0, F201, $K$12))</f>
        <v>1</v>
      </c>
      <c r="G202" s="232" t="n">
        <f aca="false">IF(ISERROR(A202),"",ROUND(G201-E202+D202,2))</f>
        <v>4855.64</v>
      </c>
      <c r="H202" s="237" t="n">
        <f aca="false">IF(G202&gt;0,IFERROR(H201+(H201*($D$16/12)),""),"")</f>
        <v>24.5872553342993</v>
      </c>
      <c r="I202" s="223" t="n">
        <f aca="false">IF(ISERROR(A203),"",12 - MONTH(B202))</f>
        <v>9</v>
      </c>
      <c r="J202" s="224" t="n">
        <f aca="false">K202</f>
        <v>1</v>
      </c>
      <c r="K202" s="225" t="n">
        <f aca="false">_xlfn.IFNA(IF(B202&gt;=$K$11, 1,0),0)</f>
        <v>1</v>
      </c>
      <c r="L202" s="60" t="str">
        <f aca="false">IF(I202=0,1,"")</f>
        <v/>
      </c>
      <c r="P202" s="4" t="n">
        <f aca="false">IF(AND(G202&gt;E202, A202&lt;&gt;0, V202&lt;&gt;0), $N$5 * ($P$22 ^ V202 - 1), 0)</f>
        <v>0</v>
      </c>
      <c r="V202" s="71" t="n">
        <f aca="false">IF(B202&lt;EDATE($K$11,12), 0,  DATEDIF(EDATE($K$11,12), B202 + 1, "y") + 1 )</f>
        <v>10</v>
      </c>
    </row>
    <row r="203" customFormat="false" ht="12.75" hidden="false" customHeight="true" outlineLevel="0" collapsed="false">
      <c r="A203" s="228" t="n">
        <f aca="false">IF(OR(G202="",G202&lt;=0,C202&gt;150),NA(),A202+1)</f>
        <v>175</v>
      </c>
      <c r="B203" s="229" t="n">
        <f aca="false">IF(ISERROR(A203),"",IF($D$9="Annually",EDATE(B202,12),EDATE(B202,1)))</f>
        <v>51619</v>
      </c>
      <c r="C203" s="230" t="n">
        <f aca="false">IF(ISERROR(A203),"",C202+IF($D$9="Monthly",1/12,1))</f>
        <v>75.6333333333328</v>
      </c>
      <c r="D203" s="231" t="n">
        <f aca="false">IF(L202&lt;&gt;1, IF(G202&lt;E202,0,D202),IF(L202=1,IFERROR(ROUND(IF($G202 - (E202 * 6) &lt; 0, D202, ($G202 - (E202 * 6)) * $D$8 / 12),2),0) ) )</f>
        <v>19.67</v>
      </c>
      <c r="E203" s="231" t="n">
        <f aca="false">IF(ISERROR(A203), 0,  MAX(0,   MIN(    ROUND(G202 + D203, 2),    ROUND(FV($S$5, IF(type=1, A203, A202), , IF(J203&lt;&gt;1, -$D$20, -$P$16 + P203), 2), 0)   )  ) )</f>
        <v>25</v>
      </c>
      <c r="F203" s="231" t="n">
        <f aca="false">IF(J203&lt;&gt;1, "", IF(J202&lt;&gt;0, F202, $K$12))</f>
        <v>1</v>
      </c>
      <c r="G203" s="232" t="n">
        <f aca="false">IF(ISERROR(A203),"",ROUND(G202-E203+D203,2))</f>
        <v>4850.31</v>
      </c>
      <c r="H203" s="237" t="n">
        <f aca="false">IF(G203&gt;0,IFERROR(H202+(H202*($D$16/12)),""),"")</f>
        <v>24.6282340931898</v>
      </c>
      <c r="I203" s="223" t="n">
        <f aca="false">IF(ISERROR(A204),"",12 - MONTH(B203))</f>
        <v>8</v>
      </c>
      <c r="J203" s="224" t="n">
        <f aca="false">K203</f>
        <v>1</v>
      </c>
      <c r="K203" s="225" t="n">
        <f aca="false">_xlfn.IFNA(IF(B203&gt;=$K$11, 1,0),0)</f>
        <v>1</v>
      </c>
      <c r="L203" s="60" t="str">
        <f aca="false">IF(I203=0,1,"")</f>
        <v/>
      </c>
      <c r="P203" s="4" t="n">
        <f aca="false">IF(AND(G203&gt;E203, A203&lt;&gt;0, V203&lt;&gt;0), $N$5 * ($P$22 ^ V203 - 1), 0)</f>
        <v>0</v>
      </c>
      <c r="V203" s="71" t="n">
        <f aca="false">IF(B203&lt;EDATE($K$11,12), 0,  DATEDIF(EDATE($K$11,12), B203 + 1, "y") + 1 )</f>
        <v>10</v>
      </c>
    </row>
    <row r="204" customFormat="false" ht="12.75" hidden="false" customHeight="true" outlineLevel="0" collapsed="false">
      <c r="A204" s="228" t="n">
        <f aca="false">IF(OR(G203="",G203&lt;=0,C203&gt;150),NA(),A203+1)</f>
        <v>176</v>
      </c>
      <c r="B204" s="229" t="n">
        <f aca="false">IF(ISERROR(A204),"",IF($D$9="Annually",EDATE(B203,12),EDATE(B203,1)))</f>
        <v>51649</v>
      </c>
      <c r="C204" s="230" t="n">
        <f aca="false">IF(ISERROR(A204),"",C203+IF($D$9="Monthly",1/12,1))</f>
        <v>75.7166666666661</v>
      </c>
      <c r="D204" s="231" t="n">
        <f aca="false">IF(L203&lt;&gt;1, IF(G203&lt;E203,0,D203),IF(L203=1,IFERROR(ROUND(IF($G203 - (E203 * 6) &lt; 0, D203, ($G203 - (E203 * 6)) * $D$8 / 12),2),0) ) )</f>
        <v>19.67</v>
      </c>
      <c r="E204" s="231" t="n">
        <f aca="false">IF(ISERROR(A204), 0,  MAX(0,   MIN(    ROUND(G203 + D204, 2),    ROUND(FV($S$5, IF(type=1, A204, A203), , IF(J204&lt;&gt;1, -$D$20, -$P$16 + P204), 2), 0)   )  ) )</f>
        <v>25</v>
      </c>
      <c r="F204" s="231" t="n">
        <f aca="false">IF(J204&lt;&gt;1, "", IF(J203&lt;&gt;0, F203, $K$12))</f>
        <v>1</v>
      </c>
      <c r="G204" s="232" t="n">
        <f aca="false">IF(ISERROR(A204),"",ROUND(G203-E204+D204,2))</f>
        <v>4844.98</v>
      </c>
      <c r="H204" s="237" t="n">
        <f aca="false">IF(G204&gt;0,IFERROR(H203+(H203*($D$16/12)),""),"")</f>
        <v>24.6692811500118</v>
      </c>
      <c r="I204" s="223" t="n">
        <f aca="false">IF(ISERROR(A205),"",12 - MONTH(B204))</f>
        <v>7</v>
      </c>
      <c r="J204" s="224" t="n">
        <f aca="false">K204</f>
        <v>1</v>
      </c>
      <c r="K204" s="225" t="n">
        <f aca="false">_xlfn.IFNA(IF(B204&gt;=$K$11, 1,0),0)</f>
        <v>1</v>
      </c>
      <c r="L204" s="60" t="str">
        <f aca="false">IF(I204=0,1,"")</f>
        <v/>
      </c>
      <c r="P204" s="4" t="n">
        <f aca="false">IF(AND(G204&gt;E204, A204&lt;&gt;0, V204&lt;&gt;0), $N$5 * ($P$22 ^ V204 - 1), 0)</f>
        <v>0</v>
      </c>
      <c r="V204" s="71" t="n">
        <f aca="false">IF(B204&lt;EDATE($K$11,12), 0,  DATEDIF(EDATE($K$11,12), B204 + 1, "y") + 1 )</f>
        <v>10</v>
      </c>
    </row>
    <row r="205" customFormat="false" ht="12.75" hidden="false" customHeight="true" outlineLevel="0" collapsed="false">
      <c r="A205" s="228" t="n">
        <f aca="false">IF(OR(G204="",G204&lt;=0,C204&gt;150),NA(),A204+1)</f>
        <v>177</v>
      </c>
      <c r="B205" s="229" t="n">
        <f aca="false">IF(ISERROR(A205),"",IF($D$9="Annually",EDATE(B204,12),EDATE(B204,1)))</f>
        <v>51680</v>
      </c>
      <c r="C205" s="230" t="n">
        <f aca="false">IF(ISERROR(A205),"",C204+IF($D$9="Monthly",1/12,1))</f>
        <v>75.7999999999994</v>
      </c>
      <c r="D205" s="231" t="n">
        <f aca="false">IF(L204&lt;&gt;1, IF(G204&lt;E204,0,D204),IF(L204=1,IFERROR(ROUND(IF($G204 - (E204 * 6) &lt; 0, D204, ($G204 - (E204 * 6)) * $D$8 / 12),2),0) ) )</f>
        <v>19.67</v>
      </c>
      <c r="E205" s="231" t="n">
        <f aca="false">IF(ISERROR(A205), 0,  MAX(0,   MIN(    ROUND(G204 + D205, 2),    ROUND(FV($S$5, IF(type=1, A205, A204), , IF(J205&lt;&gt;1, -$D$20, -$P$16 + P205), 2), 0)   )  ) )</f>
        <v>25</v>
      </c>
      <c r="F205" s="231" t="n">
        <f aca="false">IF(J205&lt;&gt;1, "", IF(J204&lt;&gt;0, F204, $K$12))</f>
        <v>1</v>
      </c>
      <c r="G205" s="232" t="n">
        <f aca="false">IF(ISERROR(A205),"",ROUND(G204-E205+D205,2))</f>
        <v>4839.65</v>
      </c>
      <c r="H205" s="237" t="n">
        <f aca="false">IF(G205&gt;0,IFERROR(H204+(H204*($D$16/12)),""),"")</f>
        <v>24.7103966185952</v>
      </c>
      <c r="I205" s="223" t="n">
        <f aca="false">IF(ISERROR(A206),"",12 - MONTH(B205))</f>
        <v>6</v>
      </c>
      <c r="J205" s="224" t="n">
        <f aca="false">K205</f>
        <v>1</v>
      </c>
      <c r="K205" s="225" t="n">
        <f aca="false">_xlfn.IFNA(IF(B205&gt;=$K$11, 1,0),0)</f>
        <v>1</v>
      </c>
      <c r="L205" s="60" t="str">
        <f aca="false">IF(I205=0,1,"")</f>
        <v/>
      </c>
      <c r="P205" s="4" t="n">
        <f aca="false">IF(AND(G205&gt;E205, A205&lt;&gt;0, V205&lt;&gt;0), $N$5 * ($P$22 ^ V205 - 1), 0)</f>
        <v>0</v>
      </c>
      <c r="V205" s="71" t="n">
        <f aca="false">IF(B205&lt;EDATE($K$11,12), 0,  DATEDIF(EDATE($K$11,12), B205 + 1, "y") + 1 )</f>
        <v>10</v>
      </c>
    </row>
    <row r="206" customFormat="false" ht="12.75" hidden="false" customHeight="true" outlineLevel="0" collapsed="false">
      <c r="A206" s="228" t="n">
        <f aca="false">IF(OR(G205="",G205&lt;=0,C205&gt;150),NA(),A205+1)</f>
        <v>178</v>
      </c>
      <c r="B206" s="229" t="n">
        <f aca="false">IF(ISERROR(A206),"",IF($D$9="Annually",EDATE(B205,12),EDATE(B205,1)))</f>
        <v>51710</v>
      </c>
      <c r="C206" s="230" t="n">
        <f aca="false">IF(ISERROR(A206),"",C205+IF($D$9="Monthly",1/12,1))</f>
        <v>75.8833333333327</v>
      </c>
      <c r="D206" s="231" t="n">
        <f aca="false">IF(L205&lt;&gt;1, IF(G205&lt;E205,0,D205),IF(L205=1,IFERROR(ROUND(IF($G205 - (E205 * 6) &lt; 0, D205, ($G205 - (E205 * 6)) * $D$8 / 12),2),0) ) )</f>
        <v>19.67</v>
      </c>
      <c r="E206" s="231" t="n">
        <f aca="false">IF(ISERROR(A206), 0,  MAX(0,   MIN(    ROUND(G205 + D206, 2),    ROUND(FV($S$5, IF(type=1, A206, A205), , IF(J206&lt;&gt;1, -$D$20, -$P$16 + P206), 2), 0)   )  ) )</f>
        <v>25</v>
      </c>
      <c r="F206" s="231" t="n">
        <f aca="false">IF(J206&lt;&gt;1, "", IF(J205&lt;&gt;0, F205, $K$12))</f>
        <v>1</v>
      </c>
      <c r="G206" s="232" t="n">
        <f aca="false">IF(ISERROR(A206),"",ROUND(G205-E206+D206,2))</f>
        <v>4834.32</v>
      </c>
      <c r="H206" s="237" t="n">
        <f aca="false">IF(G206&gt;0,IFERROR(H205+(H205*($D$16/12)),""),"")</f>
        <v>24.7515806129595</v>
      </c>
      <c r="I206" s="223" t="n">
        <f aca="false">IF(ISERROR(A207),"",12 - MONTH(B206))</f>
        <v>5</v>
      </c>
      <c r="J206" s="224" t="n">
        <f aca="false">K206</f>
        <v>1</v>
      </c>
      <c r="K206" s="225" t="n">
        <f aca="false">_xlfn.IFNA(IF(B206&gt;=$K$11, 1,0),0)</f>
        <v>1</v>
      </c>
      <c r="L206" s="60" t="str">
        <f aca="false">IF(I206=0,1,"")</f>
        <v/>
      </c>
      <c r="P206" s="4" t="n">
        <f aca="false">IF(AND(G206&gt;E206, A206&lt;&gt;0, V206&lt;&gt;0), $N$5 * ($P$22 ^ V206 - 1), 0)</f>
        <v>0</v>
      </c>
      <c r="V206" s="71" t="n">
        <f aca="false">IF(B206&lt;EDATE($K$11,12), 0,  DATEDIF(EDATE($K$11,12), B206 + 1, "y") + 1 )</f>
        <v>10</v>
      </c>
    </row>
    <row r="207" customFormat="false" ht="12.75" hidden="false" customHeight="true" outlineLevel="0" collapsed="false">
      <c r="A207" s="228" t="n">
        <f aca="false">IF(OR(G206="",G206&lt;=0,C206&gt;150),NA(),A206+1)</f>
        <v>179</v>
      </c>
      <c r="B207" s="229" t="n">
        <f aca="false">IF(ISERROR(A207),"",IF($D$9="Annually",EDATE(B206,12),EDATE(B206,1)))</f>
        <v>51741</v>
      </c>
      <c r="C207" s="230" t="n">
        <f aca="false">IF(ISERROR(A207),"",C206+IF($D$9="Monthly",1/12,1))</f>
        <v>75.9666666666661</v>
      </c>
      <c r="D207" s="231" t="n">
        <f aca="false">IF(L206&lt;&gt;1, IF(G206&lt;E206,0,D206),IF(L206=1,IFERROR(ROUND(IF($G206 - (E206 * 6) &lt; 0, D206, ($G206 - (E206 * 6)) * $D$8 / 12),2),0) ) )</f>
        <v>19.67</v>
      </c>
      <c r="E207" s="231" t="n">
        <f aca="false">IF(ISERROR(A207), 0,  MAX(0,   MIN(    ROUND(G206 + D207, 2),    ROUND(FV($S$5, IF(type=1, A207, A206), , IF(J207&lt;&gt;1, -$D$20, -$P$16 + P207), 2), 0)   )  ) )</f>
        <v>25</v>
      </c>
      <c r="F207" s="231" t="n">
        <f aca="false">IF(J207&lt;&gt;1, "", IF(J206&lt;&gt;0, F206, $K$12))</f>
        <v>1</v>
      </c>
      <c r="G207" s="232" t="n">
        <f aca="false">IF(ISERROR(A207),"",ROUND(G206-E207+D207,2))</f>
        <v>4828.99</v>
      </c>
      <c r="H207" s="237" t="n">
        <f aca="false">IF(G207&gt;0,IFERROR(H206+(H206*($D$16/12)),""),"")</f>
        <v>24.7928332473144</v>
      </c>
      <c r="I207" s="223" t="n">
        <f aca="false">IF(ISERROR(A208),"",12 - MONTH(B207))</f>
        <v>4</v>
      </c>
      <c r="J207" s="224" t="n">
        <f aca="false">K207</f>
        <v>1</v>
      </c>
      <c r="K207" s="225" t="n">
        <f aca="false">_xlfn.IFNA(IF(B207&gt;=$K$11, 1,0),0)</f>
        <v>1</v>
      </c>
      <c r="L207" s="60" t="str">
        <f aca="false">IF(I207=0,1,"")</f>
        <v/>
      </c>
      <c r="P207" s="4" t="n">
        <f aca="false">IF(AND(G207&gt;E207, A207&lt;&gt;0, V207&lt;&gt;0), $N$5 * ($P$22 ^ V207 - 1), 0)</f>
        <v>0</v>
      </c>
      <c r="V207" s="71" t="n">
        <f aca="false">IF(B207&lt;EDATE($K$11,12), 0,  DATEDIF(EDATE($K$11,12), B207 + 1, "y") + 1 )</f>
        <v>10</v>
      </c>
    </row>
    <row r="208" customFormat="false" ht="12.75" hidden="false" customHeight="true" outlineLevel="0" collapsed="false">
      <c r="A208" s="228" t="n">
        <f aca="false">IF(OR(G207="",G207&lt;=0,C207&gt;150),NA(),A207+1)</f>
        <v>180</v>
      </c>
      <c r="B208" s="229" t="n">
        <f aca="false">IF(ISERROR(A208),"",IF($D$9="Annually",EDATE(B207,12),EDATE(B207,1)))</f>
        <v>51772</v>
      </c>
      <c r="C208" s="230" t="n">
        <f aca="false">IF(ISERROR(A208),"",C207+IF($D$9="Monthly",1/12,1))</f>
        <v>76.0499999999994</v>
      </c>
      <c r="D208" s="231" t="n">
        <f aca="false">IF(L207&lt;&gt;1, IF(G207&lt;E207,0,D207),IF(L207=1,IFERROR(ROUND(IF($G207 - (E207 * 6) &lt; 0, D207, ($G207 - (E207 * 6)) * $D$8 / 12),2),0) ) )</f>
        <v>19.67</v>
      </c>
      <c r="E208" s="231" t="n">
        <f aca="false">IF(ISERROR(A208), 0,  MAX(0,   MIN(    ROUND(G207 + D208, 2),    ROUND(FV($S$5, IF(type=1, A208, A207), , IF(J208&lt;&gt;1, -$D$20, -$P$16 + P208), 2), 0)   )  ) )</f>
        <v>25</v>
      </c>
      <c r="F208" s="231" t="n">
        <f aca="false">IF(J208&lt;&gt;1, "", IF(J207&lt;&gt;0, F207, $K$12))</f>
        <v>1</v>
      </c>
      <c r="G208" s="232" t="n">
        <f aca="false">IF(ISERROR(A208),"",ROUND(G207-E208+D208,2))</f>
        <v>4823.66</v>
      </c>
      <c r="H208" s="237" t="n">
        <f aca="false">IF(G208&gt;0,IFERROR(H207+(H207*($D$16/12)),""),"")</f>
        <v>24.83415463606</v>
      </c>
      <c r="I208" s="223" t="n">
        <f aca="false">IF(ISERROR(A209),"",12 - MONTH(B208))</f>
        <v>3</v>
      </c>
      <c r="J208" s="224" t="n">
        <f aca="false">K208</f>
        <v>1</v>
      </c>
      <c r="K208" s="225" t="n">
        <f aca="false">_xlfn.IFNA(IF(B208&gt;=$K$11, 1,0),0)</f>
        <v>1</v>
      </c>
      <c r="L208" s="60" t="str">
        <f aca="false">IF(I208=0,1,"")</f>
        <v/>
      </c>
      <c r="P208" s="4" t="n">
        <f aca="false">IF(AND(G208&gt;E208, A208&lt;&gt;0, V208&lt;&gt;0), $N$5 * ($P$22 ^ V208 - 1), 0)</f>
        <v>0</v>
      </c>
      <c r="V208" s="71" t="n">
        <f aca="false">IF(B208&lt;EDATE($K$11,12), 0,  DATEDIF(EDATE($K$11,12), B208 + 1, "y") + 1 )</f>
        <v>10</v>
      </c>
    </row>
    <row r="209" customFormat="false" ht="12.75" hidden="false" customHeight="true" outlineLevel="0" collapsed="false">
      <c r="A209" s="228" t="n">
        <f aca="false">IF(OR(G208="",G208&lt;=0,C208&gt;150),NA(),A208+1)</f>
        <v>181</v>
      </c>
      <c r="B209" s="229" t="n">
        <f aca="false">IF(ISERROR(A209),"",IF($D$9="Annually",EDATE(B208,12),EDATE(B208,1)))</f>
        <v>51802</v>
      </c>
      <c r="C209" s="230" t="n">
        <f aca="false">IF(ISERROR(A209),"",C208+IF($D$9="Monthly",1/12,1))</f>
        <v>76.1333333333327</v>
      </c>
      <c r="D209" s="231" t="n">
        <f aca="false">IF(L208&lt;&gt;1, IF(G208&lt;E208,0,D208),IF(L208=1,IFERROR(ROUND(IF($G208 - (E208 * 6) &lt; 0, D208, ($G208 - (E208 * 6)) * $D$8 / 12),2),0) ) )</f>
        <v>19.67</v>
      </c>
      <c r="E209" s="231" t="n">
        <f aca="false">IF(ISERROR(A209), 0,  MAX(0,   MIN(    ROUND(G208 + D209, 2),    ROUND(FV($S$5, IF(type=1, A209, A208), , IF(J209&lt;&gt;1, -$D$20, -$P$16 + P209), 2), 0)   )  ) )</f>
        <v>25</v>
      </c>
      <c r="F209" s="231" t="n">
        <f aca="false">IF(J209&lt;&gt;1, "", IF(J208&lt;&gt;0, F208, $K$12))</f>
        <v>1</v>
      </c>
      <c r="G209" s="232" t="n">
        <f aca="false">IF(ISERROR(A209),"",ROUND(G208-E209+D209,2))</f>
        <v>4818.33</v>
      </c>
      <c r="H209" s="237" t="n">
        <f aca="false">IF(G209&gt;0,IFERROR(H208+(H208*($D$16/12)),""),"")</f>
        <v>24.8755448937867</v>
      </c>
      <c r="I209" s="223" t="n">
        <f aca="false">IF(ISERROR(A210),"",12 - MONTH(B209))</f>
        <v>2</v>
      </c>
      <c r="J209" s="224" t="n">
        <f aca="false">K209</f>
        <v>1</v>
      </c>
      <c r="K209" s="225" t="n">
        <f aca="false">_xlfn.IFNA(IF(B209&gt;=$K$11, 1,0),0)</f>
        <v>1</v>
      </c>
      <c r="L209" s="60" t="str">
        <f aca="false">IF(I209=0,1,"")</f>
        <v/>
      </c>
      <c r="P209" s="4" t="n">
        <f aca="false">IF(AND(G209&gt;E209, A209&lt;&gt;0, V209&lt;&gt;0), $N$5 * ($P$22 ^ V209 - 1), 0)</f>
        <v>0</v>
      </c>
      <c r="V209" s="71" t="n">
        <f aca="false">IF(B209&lt;EDATE($K$11,12), 0,  DATEDIF(EDATE($K$11,12), B209 + 1, "y") + 1 )</f>
        <v>10</v>
      </c>
    </row>
    <row r="210" customFormat="false" ht="12.75" hidden="false" customHeight="true" outlineLevel="0" collapsed="false">
      <c r="A210" s="228" t="n">
        <f aca="false">IF(OR(G209="",G209&lt;=0,C209&gt;150),NA(),A209+1)</f>
        <v>182</v>
      </c>
      <c r="B210" s="229" t="n">
        <f aca="false">IF(ISERROR(A210),"",IF($D$9="Annually",EDATE(B209,12),EDATE(B209,1)))</f>
        <v>51833</v>
      </c>
      <c r="C210" s="230" t="n">
        <f aca="false">IF(ISERROR(A210),"",C209+IF($D$9="Monthly",1/12,1))</f>
        <v>76.2166666666661</v>
      </c>
      <c r="D210" s="231" t="n">
        <f aca="false">IF(L209&lt;&gt;1, IF(G209&lt;E209,0,D209),IF(L209=1,IFERROR(ROUND(IF($G209 - (E209 * 6) &lt; 0, D209, ($G209 - (E209 * 6)) * $D$8 / 12),2),0) ) )</f>
        <v>19.67</v>
      </c>
      <c r="E210" s="231" t="n">
        <f aca="false">IF(ISERROR(A210), 0,  MAX(0,   MIN(    ROUND(G209 + D210, 2),    ROUND(FV($S$5, IF(type=1, A210, A209), , IF(J210&lt;&gt;1, -$D$20, -$P$16 + P210), 2), 0)   )  ) )</f>
        <v>25</v>
      </c>
      <c r="F210" s="231" t="n">
        <f aca="false">IF(J210&lt;&gt;1, "", IF(J209&lt;&gt;0, F209, $K$12))</f>
        <v>1</v>
      </c>
      <c r="G210" s="232" t="n">
        <f aca="false">IF(ISERROR(A210),"",ROUND(G209-E210+D210,2))</f>
        <v>4813</v>
      </c>
      <c r="H210" s="237" t="n">
        <f aca="false">IF(G210&gt;0,IFERROR(H209+(H209*($D$16/12)),""),"")</f>
        <v>24.9170041352764</v>
      </c>
      <c r="I210" s="223" t="n">
        <f aca="false">IF(ISERROR(A211),"",12 - MONTH(B210))</f>
        <v>1</v>
      </c>
      <c r="J210" s="224" t="n">
        <f aca="false">K210</f>
        <v>1</v>
      </c>
      <c r="K210" s="225" t="n">
        <f aca="false">_xlfn.IFNA(IF(B210&gt;=$K$11, 1,0),0)</f>
        <v>1</v>
      </c>
      <c r="L210" s="60" t="str">
        <f aca="false">IF(I210=0,1,"")</f>
        <v/>
      </c>
      <c r="P210" s="4" t="n">
        <f aca="false">IF(AND(G210&gt;E210, A210&lt;&gt;0, V210&lt;&gt;0), $N$5 * ($P$22 ^ V210 - 1), 0)</f>
        <v>0</v>
      </c>
      <c r="V210" s="71" t="n">
        <f aca="false">IF(B210&lt;EDATE($K$11,12), 0,  DATEDIF(EDATE($K$11,12), B210 + 1, "y") + 1 )</f>
        <v>10</v>
      </c>
    </row>
    <row r="211" customFormat="false" ht="12.75" hidden="false" customHeight="true" outlineLevel="0" collapsed="false">
      <c r="A211" s="228" t="n">
        <f aca="false">IF(OR(G210="",G210&lt;=0,C210&gt;150),NA(),A210+1)</f>
        <v>183</v>
      </c>
      <c r="B211" s="229" t="n">
        <f aca="false">IF(ISERROR(A211),"",IF($D$9="Annually",EDATE(B210,12),EDATE(B210,1)))</f>
        <v>51863</v>
      </c>
      <c r="C211" s="230" t="n">
        <f aca="false">IF(ISERROR(A211),"",C210+IF($D$9="Monthly",1/12,1))</f>
        <v>76.2999999999994</v>
      </c>
      <c r="D211" s="231" t="n">
        <f aca="false">IF(L210&lt;&gt;1, IF(G210&lt;E210,0,D210),IF(L210=1,IFERROR(ROUND(IF($G210 - (E210 * 6) &lt; 0, D210, ($G210 - (E210 * 6)) * $D$8 / 12),2),0) ) )</f>
        <v>19.67</v>
      </c>
      <c r="E211" s="231" t="n">
        <f aca="false">IF(ISERROR(A211), 0,  MAX(0,   MIN(    ROUND(G210 + D211, 2),    ROUND(FV($S$5, IF(type=1, A211, A210), , IF(J211&lt;&gt;1, -$D$20, -$P$16 + P211), 2), 0)   )  ) )</f>
        <v>25</v>
      </c>
      <c r="F211" s="231" t="n">
        <f aca="false">IF(J211&lt;&gt;1, "", IF(J210&lt;&gt;0, F210, $K$12))</f>
        <v>1</v>
      </c>
      <c r="G211" s="232" t="n">
        <f aca="false">IF(ISERROR(A211),"",ROUND(G210-E211+D211,2))</f>
        <v>4807.67</v>
      </c>
      <c r="H211" s="237" t="n">
        <f aca="false">IF(G211&gt;0,IFERROR(H210+(H210*($D$16/12)),""),"")</f>
        <v>24.9585324755018</v>
      </c>
      <c r="I211" s="223" t="n">
        <f aca="false">IF(ISERROR(A212),"",12 - MONTH(B211))</f>
        <v>0</v>
      </c>
      <c r="J211" s="224" t="n">
        <f aca="false">K211</f>
        <v>1</v>
      </c>
      <c r="K211" s="225" t="n">
        <f aca="false">_xlfn.IFNA(IF(B211&gt;=$K$11, 1,0),0)</f>
        <v>1</v>
      </c>
      <c r="L211" s="60" t="n">
        <f aca="false">IF(I211=0,1,"")</f>
        <v>1</v>
      </c>
      <c r="P211" s="4" t="n">
        <f aca="false">IF(AND(G211&gt;E211, A211&lt;&gt;0, V211&lt;&gt;0), $N$5 * ($P$22 ^ V211 - 1), 0)</f>
        <v>0</v>
      </c>
      <c r="V211" s="71" t="n">
        <f aca="false">IF(B211&lt;EDATE($K$11,12), 0,  DATEDIF(EDATE($K$11,12), B211 + 1, "y") + 1 )</f>
        <v>10</v>
      </c>
    </row>
    <row r="212" customFormat="false" ht="12.75" hidden="false" customHeight="true" outlineLevel="0" collapsed="false">
      <c r="A212" s="228" t="n">
        <f aca="false">IF(OR(G211="",G211&lt;=0,C211&gt;150),NA(),A211+1)</f>
        <v>184</v>
      </c>
      <c r="B212" s="229" t="n">
        <f aca="false">IF(ISERROR(A212),"",IF($D$9="Annually",EDATE(B211,12),EDATE(B211,1)))</f>
        <v>51894</v>
      </c>
      <c r="C212" s="230" t="n">
        <f aca="false">IF(ISERROR(A212),"",C211+IF($D$9="Monthly",1/12,1))</f>
        <v>76.3833333333327</v>
      </c>
      <c r="D212" s="231" t="n">
        <f aca="false">IF(L211&lt;&gt;1, IF(G211&lt;E211,0,D211),IF(L211=1,IFERROR(ROUND(IF($G211 - (E211 * 6) &lt; 0, D211, ($G211 - (E211 * 6)) * $D$8 / 12),2),0) ) )</f>
        <v>19.41</v>
      </c>
      <c r="E212" s="231" t="n">
        <f aca="false">IF(ISERROR(A212), 0,  MAX(0,   MIN(    ROUND(G211 + D212, 2),    ROUND(FV($S$5, IF(type=1, A212, A211), , IF(J212&lt;&gt;1, -$D$20, -$P$16 + P212), 2), 0)   )  ) )</f>
        <v>25</v>
      </c>
      <c r="F212" s="231" t="n">
        <f aca="false">IF(J212&lt;&gt;1, "", IF(J211&lt;&gt;0, F211, $K$12))</f>
        <v>1</v>
      </c>
      <c r="G212" s="232" t="n">
        <f aca="false">IF(ISERROR(A212),"",ROUND(G211-E212+D212,2))</f>
        <v>4802.08</v>
      </c>
      <c r="H212" s="237" t="n">
        <f aca="false">IF(G212&gt;0,IFERROR(H211+(H211*($D$16/12)),""),"")</f>
        <v>25.0001300296277</v>
      </c>
      <c r="I212" s="223" t="n">
        <f aca="false">IF(ISERROR(A213),"",12 - MONTH(B212))</f>
        <v>11</v>
      </c>
      <c r="J212" s="224" t="n">
        <f aca="false">K212</f>
        <v>1</v>
      </c>
      <c r="K212" s="225" t="n">
        <f aca="false">_xlfn.IFNA(IF(B212&gt;=$K$11, 1,0),0)</f>
        <v>1</v>
      </c>
      <c r="L212" s="60" t="str">
        <f aca="false">IF(I212=0,1,"")</f>
        <v/>
      </c>
      <c r="P212" s="4" t="n">
        <f aca="false">IF(AND(G212&gt;E212, A212&lt;&gt;0, V212&lt;&gt;0), $N$5 * ($P$22 ^ V212 - 1), 0)</f>
        <v>0</v>
      </c>
      <c r="V212" s="71" t="n">
        <f aca="false">IF(B212&lt;EDATE($K$11,12), 0,  DATEDIF(EDATE($K$11,12), B212 + 1, "y") + 1 )</f>
        <v>11</v>
      </c>
    </row>
    <row r="213" customFormat="false" ht="12.75" hidden="false" customHeight="true" outlineLevel="0" collapsed="false">
      <c r="A213" s="228" t="n">
        <f aca="false">IF(OR(G212="",G212&lt;=0,C212&gt;150),NA(),A212+1)</f>
        <v>185</v>
      </c>
      <c r="B213" s="229" t="n">
        <f aca="false">IF(ISERROR(A213),"",IF($D$9="Annually",EDATE(B212,12),EDATE(B212,1)))</f>
        <v>51925</v>
      </c>
      <c r="C213" s="230" t="n">
        <f aca="false">IF(ISERROR(A213),"",C212+IF($D$9="Monthly",1/12,1))</f>
        <v>76.466666666666</v>
      </c>
      <c r="D213" s="231" t="n">
        <f aca="false">IF(L212&lt;&gt;1, IF(G212&lt;E212,0,D212),IF(L212=1,IFERROR(ROUND(IF($G212 - (E212 * 6) &lt; 0, D212, ($G212 - (E212 * 6)) * $D$8 / 12),2),0) ) )</f>
        <v>19.41</v>
      </c>
      <c r="E213" s="231" t="n">
        <f aca="false">IF(ISERROR(A213), 0,  MAX(0,   MIN(    ROUND(G212 + D213, 2),    ROUND(FV($S$5, IF(type=1, A213, A212), , IF(J213&lt;&gt;1, -$D$20, -$P$16 + P213), 2), 0)   )  ) )</f>
        <v>26</v>
      </c>
      <c r="F213" s="231" t="n">
        <f aca="false">IF(J213&lt;&gt;1, "", IF(J212&lt;&gt;0, F212, $K$12))</f>
        <v>1</v>
      </c>
      <c r="G213" s="232" t="n">
        <f aca="false">IF(ISERROR(A213),"",ROUND(G212-E213+D213,2))</f>
        <v>4795.49</v>
      </c>
      <c r="H213" s="237" t="n">
        <f aca="false">IF(G213&gt;0,IFERROR(H212+(H212*($D$16/12)),""),"")</f>
        <v>25.0417969130104</v>
      </c>
      <c r="I213" s="223" t="n">
        <f aca="false">IF(ISERROR(A214),"",12 - MONTH(B213))</f>
        <v>10</v>
      </c>
      <c r="J213" s="224" t="n">
        <f aca="false">K213</f>
        <v>1</v>
      </c>
      <c r="K213" s="225" t="n">
        <f aca="false">_xlfn.IFNA(IF(B213&gt;=$K$11, 1,0),0)</f>
        <v>1</v>
      </c>
      <c r="L213" s="60" t="str">
        <f aca="false">IF(I213=0,1,"")</f>
        <v/>
      </c>
      <c r="P213" s="4" t="n">
        <f aca="false">IF(AND(G213&gt;E213, A213&lt;&gt;0, V213&lt;&gt;0), $N$5 * ($P$22 ^ V213 - 1), 0)</f>
        <v>0</v>
      </c>
      <c r="V213" s="71" t="n">
        <f aca="false">IF(B213&lt;EDATE($K$11,12), 0,  DATEDIF(EDATE($K$11,12), B213 + 1, "y") + 1 )</f>
        <v>11</v>
      </c>
    </row>
    <row r="214" customFormat="false" ht="12.75" hidden="false" customHeight="true" outlineLevel="0" collapsed="false">
      <c r="A214" s="228" t="n">
        <f aca="false">IF(OR(G213="",G213&lt;=0,C213&gt;150),NA(),A213+1)</f>
        <v>186</v>
      </c>
      <c r="B214" s="229" t="n">
        <f aca="false">IF(ISERROR(A214),"",IF($D$9="Annually",EDATE(B213,12),EDATE(B213,1)))</f>
        <v>51953</v>
      </c>
      <c r="C214" s="230" t="n">
        <f aca="false">IF(ISERROR(A214),"",C213+IF($D$9="Monthly",1/12,1))</f>
        <v>76.5499999999994</v>
      </c>
      <c r="D214" s="231" t="n">
        <f aca="false">IF(L213&lt;&gt;1, IF(G213&lt;E213,0,D213),IF(L213=1,IFERROR(ROUND(IF($G213 - (E213 * 6) &lt; 0, D213, ($G213 - (E213 * 6)) * $D$8 / 12),2),0) ) )</f>
        <v>19.41</v>
      </c>
      <c r="E214" s="231" t="n">
        <f aca="false">IF(ISERROR(A214), 0,  MAX(0,   MIN(    ROUND(G213 + D214, 2),    ROUND(FV($S$5, IF(type=1, A214, A213), , IF(J214&lt;&gt;1, -$D$20, -$P$16 + P214), 2), 0)   )  ) )</f>
        <v>26</v>
      </c>
      <c r="F214" s="231" t="n">
        <f aca="false">IF(J214&lt;&gt;1, "", IF(J213&lt;&gt;0, F213, $K$12))</f>
        <v>1</v>
      </c>
      <c r="G214" s="232" t="n">
        <f aca="false">IF(ISERROR(A214),"",ROUND(G213-E214+D214,2))</f>
        <v>4788.9</v>
      </c>
      <c r="H214" s="237" t="n">
        <f aca="false">IF(G214&gt;0,IFERROR(H213+(H213*($D$16/12)),""),"")</f>
        <v>25.0835332411987</v>
      </c>
      <c r="I214" s="223" t="n">
        <f aca="false">IF(ISERROR(A215),"",12 - MONTH(B214))</f>
        <v>9</v>
      </c>
      <c r="J214" s="224" t="n">
        <f aca="false">K214</f>
        <v>1</v>
      </c>
      <c r="K214" s="225" t="n">
        <f aca="false">_xlfn.IFNA(IF(B214&gt;=$K$11, 1,0),0)</f>
        <v>1</v>
      </c>
      <c r="L214" s="60" t="str">
        <f aca="false">IF(I214=0,1,"")</f>
        <v/>
      </c>
      <c r="P214" s="4" t="n">
        <f aca="false">IF(AND(G214&gt;E214, A214&lt;&gt;0, V214&lt;&gt;0), $N$5 * ($P$22 ^ V214 - 1), 0)</f>
        <v>0</v>
      </c>
      <c r="V214" s="71" t="n">
        <f aca="false">IF(B214&lt;EDATE($K$11,12), 0,  DATEDIF(EDATE($K$11,12), B214 + 1, "y") + 1 )</f>
        <v>11</v>
      </c>
    </row>
    <row r="215" customFormat="false" ht="12.75" hidden="false" customHeight="true" outlineLevel="0" collapsed="false">
      <c r="A215" s="228" t="n">
        <f aca="false">IF(OR(G214="",G214&lt;=0,C214&gt;150),NA(),A214+1)</f>
        <v>187</v>
      </c>
      <c r="B215" s="229" t="n">
        <f aca="false">IF(ISERROR(A215),"",IF($D$9="Annually",EDATE(B214,12),EDATE(B214,1)))</f>
        <v>51984</v>
      </c>
      <c r="C215" s="230" t="n">
        <f aca="false">IF(ISERROR(A215),"",C214+IF($D$9="Monthly",1/12,1))</f>
        <v>76.6333333333327</v>
      </c>
      <c r="D215" s="231" t="n">
        <f aca="false">IF(L214&lt;&gt;1, IF(G214&lt;E214,0,D214),IF(L214=1,IFERROR(ROUND(IF($G214 - (E214 * 6) &lt; 0, D214, ($G214 - (E214 * 6)) * $D$8 / 12),2),0) ) )</f>
        <v>19.41</v>
      </c>
      <c r="E215" s="231" t="n">
        <f aca="false">IF(ISERROR(A215), 0,  MAX(0,   MIN(    ROUND(G214 + D215, 2),    ROUND(FV($S$5, IF(type=1, A215, A214), , IF(J215&lt;&gt;1, -$D$20, -$P$16 + P215), 2), 0)   )  ) )</f>
        <v>26</v>
      </c>
      <c r="F215" s="231" t="n">
        <f aca="false">IF(J215&lt;&gt;1, "", IF(J214&lt;&gt;0, F214, $K$12))</f>
        <v>1</v>
      </c>
      <c r="G215" s="232" t="n">
        <f aca="false">IF(ISERROR(A215),"",ROUND(G214-E215+D215,2))</f>
        <v>4782.31</v>
      </c>
      <c r="H215" s="237" t="n">
        <f aca="false">IF(G215&gt;0,IFERROR(H214+(H214*($D$16/12)),""),"")</f>
        <v>25.1253391299341</v>
      </c>
      <c r="I215" s="223" t="n">
        <f aca="false">IF(ISERROR(A216),"",12 - MONTH(B215))</f>
        <v>8</v>
      </c>
      <c r="J215" s="224" t="n">
        <f aca="false">K215</f>
        <v>1</v>
      </c>
      <c r="K215" s="225" t="n">
        <f aca="false">_xlfn.IFNA(IF(B215&gt;=$K$11, 1,0),0)</f>
        <v>1</v>
      </c>
      <c r="L215" s="60" t="str">
        <f aca="false">IF(I215=0,1,"")</f>
        <v/>
      </c>
      <c r="P215" s="4" t="n">
        <f aca="false">IF(AND(G215&gt;E215, A215&lt;&gt;0, V215&lt;&gt;0), $N$5 * ($P$22 ^ V215 - 1), 0)</f>
        <v>0</v>
      </c>
      <c r="V215" s="71" t="n">
        <f aca="false">IF(B215&lt;EDATE($K$11,12), 0,  DATEDIF(EDATE($K$11,12), B215 + 1, "y") + 1 )</f>
        <v>11</v>
      </c>
    </row>
    <row r="216" customFormat="false" ht="12.75" hidden="false" customHeight="true" outlineLevel="0" collapsed="false">
      <c r="A216" s="228" t="n">
        <f aca="false">IF(OR(G215="",G215&lt;=0,C215&gt;150),NA(),A215+1)</f>
        <v>188</v>
      </c>
      <c r="B216" s="229" t="n">
        <f aca="false">IF(ISERROR(A216),"",IF($D$9="Annually",EDATE(B215,12),EDATE(B215,1)))</f>
        <v>52014</v>
      </c>
      <c r="C216" s="230" t="n">
        <f aca="false">IF(ISERROR(A216),"",C215+IF($D$9="Monthly",1/12,1))</f>
        <v>76.716666666666</v>
      </c>
      <c r="D216" s="231" t="n">
        <f aca="false">IF(L215&lt;&gt;1, IF(G215&lt;E215,0,D215),IF(L215=1,IFERROR(ROUND(IF($G215 - (E215 * 6) &lt; 0, D215, ($G215 - (E215 * 6)) * $D$8 / 12),2),0) ) )</f>
        <v>19.41</v>
      </c>
      <c r="E216" s="231" t="n">
        <f aca="false">IF(ISERROR(A216), 0,  MAX(0,   MIN(    ROUND(G215 + D216, 2),    ROUND(FV($S$5, IF(type=1, A216, A215), , IF(J216&lt;&gt;1, -$D$20, -$P$16 + P216), 2), 0)   )  ) )</f>
        <v>26</v>
      </c>
      <c r="F216" s="231" t="n">
        <f aca="false">IF(J216&lt;&gt;1, "", IF(J215&lt;&gt;0, F215, $K$12))</f>
        <v>1</v>
      </c>
      <c r="G216" s="232" t="n">
        <f aca="false">IF(ISERROR(A216),"",ROUND(G215-E216+D216,2))</f>
        <v>4775.72</v>
      </c>
      <c r="H216" s="237" t="n">
        <f aca="false">IF(G216&gt;0,IFERROR(H215+(H215*($D$16/12)),""),"")</f>
        <v>25.1672146951506</v>
      </c>
      <c r="I216" s="223" t="n">
        <f aca="false">IF(ISERROR(A217),"",12 - MONTH(B216))</f>
        <v>7</v>
      </c>
      <c r="J216" s="224" t="n">
        <f aca="false">K216</f>
        <v>1</v>
      </c>
      <c r="K216" s="225" t="n">
        <f aca="false">_xlfn.IFNA(IF(B216&gt;=$K$11, 1,0),0)</f>
        <v>1</v>
      </c>
      <c r="L216" s="60" t="str">
        <f aca="false">IF(I216=0,1,"")</f>
        <v/>
      </c>
      <c r="P216" s="4" t="n">
        <f aca="false">IF(AND(G216&gt;E216, A216&lt;&gt;0, V216&lt;&gt;0), $N$5 * ($P$22 ^ V216 - 1), 0)</f>
        <v>0</v>
      </c>
      <c r="V216" s="71" t="n">
        <f aca="false">IF(B216&lt;EDATE($K$11,12), 0,  DATEDIF(EDATE($K$11,12), B216 + 1, "y") + 1 )</f>
        <v>11</v>
      </c>
    </row>
    <row r="217" customFormat="false" ht="12.75" hidden="false" customHeight="true" outlineLevel="0" collapsed="false">
      <c r="A217" s="228" t="n">
        <f aca="false">IF(OR(G216="",G216&lt;=0,C216&gt;150),NA(),A216+1)</f>
        <v>189</v>
      </c>
      <c r="B217" s="229" t="n">
        <f aca="false">IF(ISERROR(A217),"",IF($D$9="Annually",EDATE(B216,12),EDATE(B216,1)))</f>
        <v>52045</v>
      </c>
      <c r="C217" s="230" t="n">
        <f aca="false">IF(ISERROR(A217),"",C216+IF($D$9="Monthly",1/12,1))</f>
        <v>76.7999999999994</v>
      </c>
      <c r="D217" s="231" t="n">
        <f aca="false">IF(L216&lt;&gt;1, IF(G216&lt;E216,0,D216),IF(L216=1,IFERROR(ROUND(IF($G216 - (E216 * 6) &lt; 0, D216, ($G216 - (E216 * 6)) * $D$8 / 12),2),0) ) )</f>
        <v>19.41</v>
      </c>
      <c r="E217" s="231" t="n">
        <f aca="false">IF(ISERROR(A217), 0,  MAX(0,   MIN(    ROUND(G216 + D217, 2),    ROUND(FV($S$5, IF(type=1, A217, A216), , IF(J217&lt;&gt;1, -$D$20, -$P$16 + P217), 2), 0)   )  ) )</f>
        <v>26</v>
      </c>
      <c r="F217" s="231" t="n">
        <f aca="false">IF(J217&lt;&gt;1, "", IF(J216&lt;&gt;0, F216, $K$12))</f>
        <v>1</v>
      </c>
      <c r="G217" s="232" t="n">
        <f aca="false">IF(ISERROR(A217),"",ROUND(G216-E217+D217,2))</f>
        <v>4769.13</v>
      </c>
      <c r="H217" s="237" t="n">
        <f aca="false">IF(G217&gt;0,IFERROR(H216+(H216*($D$16/12)),""),"")</f>
        <v>25.2091600529759</v>
      </c>
      <c r="I217" s="223" t="n">
        <f aca="false">IF(ISERROR(A218),"",12 - MONTH(B217))</f>
        <v>6</v>
      </c>
      <c r="J217" s="224" t="n">
        <f aca="false">K217</f>
        <v>1</v>
      </c>
      <c r="K217" s="225" t="n">
        <f aca="false">_xlfn.IFNA(IF(B217&gt;=$K$11, 1,0),0)</f>
        <v>1</v>
      </c>
      <c r="L217" s="60" t="str">
        <f aca="false">IF(I217=0,1,"")</f>
        <v/>
      </c>
      <c r="P217" s="4" t="n">
        <f aca="false">IF(AND(G217&gt;E217, A217&lt;&gt;0, V217&lt;&gt;0), $N$5 * ($P$22 ^ V217 - 1), 0)</f>
        <v>0</v>
      </c>
      <c r="V217" s="71" t="n">
        <f aca="false">IF(B217&lt;EDATE($K$11,12), 0,  DATEDIF(EDATE($K$11,12), B217 + 1, "y") + 1 )</f>
        <v>11</v>
      </c>
    </row>
    <row r="218" customFormat="false" ht="12.75" hidden="false" customHeight="true" outlineLevel="0" collapsed="false">
      <c r="A218" s="228" t="n">
        <f aca="false">IF(OR(G217="",G217&lt;=0,C217&gt;150),NA(),A217+1)</f>
        <v>190</v>
      </c>
      <c r="B218" s="229" t="n">
        <f aca="false">IF(ISERROR(A218),"",IF($D$9="Annually",EDATE(B217,12),EDATE(B217,1)))</f>
        <v>52075</v>
      </c>
      <c r="C218" s="230" t="n">
        <f aca="false">IF(ISERROR(A218),"",C217+IF($D$9="Monthly",1/12,1))</f>
        <v>76.8833333333327</v>
      </c>
      <c r="D218" s="231" t="n">
        <f aca="false">IF(L217&lt;&gt;1, IF(G217&lt;E217,0,D217),IF(L217=1,IFERROR(ROUND(IF($G217 - (E217 * 6) &lt; 0, D217, ($G217 - (E217 * 6)) * $D$8 / 12),2),0) ) )</f>
        <v>19.41</v>
      </c>
      <c r="E218" s="231" t="n">
        <f aca="false">IF(ISERROR(A218), 0,  MAX(0,   MIN(    ROUND(G217 + D218, 2),    ROUND(FV($S$5, IF(type=1, A218, A217), , IF(J218&lt;&gt;1, -$D$20, -$P$16 + P218), 2), 0)   )  ) )</f>
        <v>26</v>
      </c>
      <c r="F218" s="231" t="n">
        <f aca="false">IF(J218&lt;&gt;1, "", IF(J217&lt;&gt;0, F217, $K$12))</f>
        <v>1</v>
      </c>
      <c r="G218" s="232" t="n">
        <f aca="false">IF(ISERROR(A218),"",ROUND(G217-E218+D218,2))</f>
        <v>4762.54</v>
      </c>
      <c r="H218" s="237" t="n">
        <f aca="false">IF(G218&gt;0,IFERROR(H217+(H217*($D$16/12)),""),"")</f>
        <v>25.2511753197308</v>
      </c>
      <c r="I218" s="223" t="n">
        <f aca="false">IF(ISERROR(A219),"",12 - MONTH(B218))</f>
        <v>5</v>
      </c>
      <c r="J218" s="224" t="n">
        <f aca="false">K218</f>
        <v>1</v>
      </c>
      <c r="K218" s="225" t="n">
        <f aca="false">_xlfn.IFNA(IF(B218&gt;=$K$11, 1,0),0)</f>
        <v>1</v>
      </c>
      <c r="L218" s="60" t="str">
        <f aca="false">IF(I218=0,1,"")</f>
        <v/>
      </c>
      <c r="P218" s="4" t="n">
        <f aca="false">IF(AND(G218&gt;E218, A218&lt;&gt;0, V218&lt;&gt;0), $N$5 * ($P$22 ^ V218 - 1), 0)</f>
        <v>0</v>
      </c>
      <c r="V218" s="71" t="n">
        <f aca="false">IF(B218&lt;EDATE($K$11,12), 0,  DATEDIF(EDATE($K$11,12), B218 + 1, "y") + 1 )</f>
        <v>11</v>
      </c>
    </row>
    <row r="219" customFormat="false" ht="12.75" hidden="false" customHeight="true" outlineLevel="0" collapsed="false">
      <c r="A219" s="228" t="n">
        <f aca="false">IF(OR(G218="",G218&lt;=0,C218&gt;150),NA(),A218+1)</f>
        <v>191</v>
      </c>
      <c r="B219" s="229" t="n">
        <f aca="false">IF(ISERROR(A219),"",IF($D$9="Annually",EDATE(B218,12),EDATE(B218,1)))</f>
        <v>52106</v>
      </c>
      <c r="C219" s="230" t="n">
        <f aca="false">IF(ISERROR(A219),"",C218+IF($D$9="Monthly",1/12,1))</f>
        <v>76.966666666666</v>
      </c>
      <c r="D219" s="231" t="n">
        <f aca="false">IF(L218&lt;&gt;1, IF(G218&lt;E218,0,D218),IF(L218=1,IFERROR(ROUND(IF($G218 - (E218 * 6) &lt; 0, D218, ($G218 - (E218 * 6)) * $D$8 / 12),2),0) ) )</f>
        <v>19.41</v>
      </c>
      <c r="E219" s="231" t="n">
        <f aca="false">IF(ISERROR(A219), 0,  MAX(0,   MIN(    ROUND(G218 + D219, 2),    ROUND(FV($S$5, IF(type=1, A219, A218), , IF(J219&lt;&gt;1, -$D$20, -$P$16 + P219), 2), 0)   )  ) )</f>
        <v>26</v>
      </c>
      <c r="F219" s="231" t="n">
        <f aca="false">IF(J219&lt;&gt;1, "", IF(J218&lt;&gt;0, F218, $K$12))</f>
        <v>1</v>
      </c>
      <c r="G219" s="232" t="n">
        <f aca="false">IF(ISERROR(A219),"",ROUND(G218-E219+D219,2))</f>
        <v>4755.95</v>
      </c>
      <c r="H219" s="237" t="n">
        <f aca="false">IF(G219&gt;0,IFERROR(H218+(H218*($D$16/12)),""),"")</f>
        <v>25.2932606119304</v>
      </c>
      <c r="I219" s="223" t="n">
        <f aca="false">IF(ISERROR(A220),"",12 - MONTH(B219))</f>
        <v>4</v>
      </c>
      <c r="J219" s="224" t="n">
        <f aca="false">K219</f>
        <v>1</v>
      </c>
      <c r="K219" s="225" t="n">
        <f aca="false">_xlfn.IFNA(IF(B219&gt;=$K$11, 1,0),0)</f>
        <v>1</v>
      </c>
      <c r="L219" s="60" t="str">
        <f aca="false">IF(I219=0,1,"")</f>
        <v/>
      </c>
      <c r="P219" s="4" t="n">
        <f aca="false">IF(AND(G219&gt;E219, A219&lt;&gt;0, V219&lt;&gt;0), $N$5 * ($P$22 ^ V219 - 1), 0)</f>
        <v>0</v>
      </c>
      <c r="V219" s="71" t="n">
        <f aca="false">IF(B219&lt;EDATE($K$11,12), 0,  DATEDIF(EDATE($K$11,12), B219 + 1, "y") + 1 )</f>
        <v>11</v>
      </c>
    </row>
    <row r="220" customFormat="false" ht="12.75" hidden="false" customHeight="true" outlineLevel="0" collapsed="false">
      <c r="A220" s="228" t="n">
        <f aca="false">IF(OR(G219="",G219&lt;=0,C219&gt;150),NA(),A219+1)</f>
        <v>192</v>
      </c>
      <c r="B220" s="229" t="n">
        <f aca="false">IF(ISERROR(A220),"",IF($D$9="Annually",EDATE(B219,12),EDATE(B219,1)))</f>
        <v>52137</v>
      </c>
      <c r="C220" s="230" t="n">
        <f aca="false">IF(ISERROR(A220),"",C219+IF($D$9="Monthly",1/12,1))</f>
        <v>77.0499999999993</v>
      </c>
      <c r="D220" s="231" t="n">
        <f aca="false">IF(L219&lt;&gt;1, IF(G219&lt;E219,0,D219),IF(L219=1,IFERROR(ROUND(IF($G219 - (E219 * 6) &lt; 0, D219, ($G219 - (E219 * 6)) * $D$8 / 12),2),0) ) )</f>
        <v>19.41</v>
      </c>
      <c r="E220" s="231" t="n">
        <f aca="false">IF(ISERROR(A220), 0,  MAX(0,   MIN(    ROUND(G219 + D220, 2),    ROUND(FV($S$5, IF(type=1, A220, A219), , IF(J220&lt;&gt;1, -$D$20, -$P$16 + P220), 2), 0)   )  ) )</f>
        <v>26</v>
      </c>
      <c r="F220" s="231" t="n">
        <f aca="false">IF(J220&lt;&gt;1, "", IF(J219&lt;&gt;0, F219, $K$12))</f>
        <v>1</v>
      </c>
      <c r="G220" s="232" t="n">
        <f aca="false">IF(ISERROR(A220),"",ROUND(G219-E220+D220,2))</f>
        <v>4749.36</v>
      </c>
      <c r="H220" s="237" t="n">
        <f aca="false">IF(G220&gt;0,IFERROR(H219+(H219*($D$16/12)),""),"")</f>
        <v>25.3354160462836</v>
      </c>
      <c r="I220" s="223" t="n">
        <f aca="false">IF(ISERROR(A221),"",12 - MONTH(B220))</f>
        <v>3</v>
      </c>
      <c r="J220" s="224" t="n">
        <f aca="false">K220</f>
        <v>1</v>
      </c>
      <c r="K220" s="225" t="n">
        <f aca="false">_xlfn.IFNA(IF(B220&gt;=$K$11, 1,0),0)</f>
        <v>1</v>
      </c>
      <c r="L220" s="60" t="str">
        <f aca="false">IF(I220=0,1,"")</f>
        <v/>
      </c>
      <c r="P220" s="4" t="n">
        <f aca="false">IF(AND(G220&gt;E220, A220&lt;&gt;0, V220&lt;&gt;0), $N$5 * ($P$22 ^ V220 - 1), 0)</f>
        <v>0</v>
      </c>
      <c r="V220" s="71" t="n">
        <f aca="false">IF(B220&lt;EDATE($K$11,12), 0,  DATEDIF(EDATE($K$11,12), B220 + 1, "y") + 1 )</f>
        <v>11</v>
      </c>
    </row>
    <row r="221" customFormat="false" ht="12.75" hidden="false" customHeight="true" outlineLevel="0" collapsed="false">
      <c r="A221" s="228" t="n">
        <f aca="false">IF(OR(G220="",G220&lt;=0,C220&gt;150),NA(),A220+1)</f>
        <v>193</v>
      </c>
      <c r="B221" s="229" t="n">
        <f aca="false">IF(ISERROR(A221),"",IF($D$9="Annually",EDATE(B220,12),EDATE(B220,1)))</f>
        <v>52167</v>
      </c>
      <c r="C221" s="230" t="n">
        <f aca="false">IF(ISERROR(A221),"",C220+IF($D$9="Monthly",1/12,1))</f>
        <v>77.1333333333327</v>
      </c>
      <c r="D221" s="231" t="n">
        <f aca="false">IF(L220&lt;&gt;1, IF(G220&lt;E220,0,D220),IF(L220=1,IFERROR(ROUND(IF($G220 - (E220 * 6) &lt; 0, D220, ($G220 - (E220 * 6)) * $D$8 / 12),2),0) ) )</f>
        <v>19.41</v>
      </c>
      <c r="E221" s="231" t="n">
        <f aca="false">IF(ISERROR(A221), 0,  MAX(0,   MIN(    ROUND(G220 + D221, 2),    ROUND(FV($S$5, IF(type=1, A221, A220), , IF(J221&lt;&gt;1, -$D$20, -$P$16 + P221), 2), 0)   )  ) )</f>
        <v>26</v>
      </c>
      <c r="F221" s="231" t="n">
        <f aca="false">IF(J221&lt;&gt;1, "", IF(J220&lt;&gt;0, F220, $K$12))</f>
        <v>1</v>
      </c>
      <c r="G221" s="232" t="n">
        <f aca="false">IF(ISERROR(A221),"",ROUND(G220-E221+D221,2))</f>
        <v>4742.77</v>
      </c>
      <c r="H221" s="237" t="n">
        <f aca="false">IF(G221&gt;0,IFERROR(H220+(H220*($D$16/12)),""),"")</f>
        <v>25.3776417396941</v>
      </c>
      <c r="I221" s="223" t="n">
        <f aca="false">IF(ISERROR(A222),"",12 - MONTH(B221))</f>
        <v>2</v>
      </c>
      <c r="J221" s="224" t="n">
        <f aca="false">K221</f>
        <v>1</v>
      </c>
      <c r="K221" s="225" t="n">
        <f aca="false">_xlfn.IFNA(IF(B221&gt;=$K$11, 1,0),0)</f>
        <v>1</v>
      </c>
      <c r="L221" s="60" t="str">
        <f aca="false">IF(I221=0,1,"")</f>
        <v/>
      </c>
      <c r="P221" s="4" t="n">
        <f aca="false">IF(AND(G221&gt;E221, A221&lt;&gt;0, V221&lt;&gt;0), $N$5 * ($P$22 ^ V221 - 1), 0)</f>
        <v>0</v>
      </c>
      <c r="V221" s="71" t="n">
        <f aca="false">IF(B221&lt;EDATE($K$11,12), 0,  DATEDIF(EDATE($K$11,12), B221 + 1, "y") + 1 )</f>
        <v>11</v>
      </c>
    </row>
    <row r="222" customFormat="false" ht="12.75" hidden="false" customHeight="true" outlineLevel="0" collapsed="false">
      <c r="A222" s="228" t="n">
        <f aca="false">IF(OR(G221="",G221&lt;=0,C221&gt;150),NA(),A221+1)</f>
        <v>194</v>
      </c>
      <c r="B222" s="229" t="n">
        <f aca="false">IF(ISERROR(A222),"",IF($D$9="Annually",EDATE(B221,12),EDATE(B221,1)))</f>
        <v>52198</v>
      </c>
      <c r="C222" s="230" t="n">
        <f aca="false">IF(ISERROR(A222),"",C221+IF($D$9="Monthly",1/12,1))</f>
        <v>77.216666666666</v>
      </c>
      <c r="D222" s="231" t="n">
        <f aca="false">IF(L221&lt;&gt;1, IF(G221&lt;E221,0,D221),IF(L221=1,IFERROR(ROUND(IF($G221 - (E221 * 6) &lt; 0, D221, ($G221 - (E221 * 6)) * $D$8 / 12),2),0) ) )</f>
        <v>19.41</v>
      </c>
      <c r="E222" s="231" t="n">
        <f aca="false">IF(ISERROR(A222), 0,  MAX(0,   MIN(    ROUND(G221 + D222, 2),    ROUND(FV($S$5, IF(type=1, A222, A221), , IF(J222&lt;&gt;1, -$D$20, -$P$16 + P222), 2), 0)   )  ) )</f>
        <v>26</v>
      </c>
      <c r="F222" s="231" t="n">
        <f aca="false">IF(J222&lt;&gt;1, "", IF(J221&lt;&gt;0, F221, $K$12))</f>
        <v>1</v>
      </c>
      <c r="G222" s="232" t="n">
        <f aca="false">IF(ISERROR(A222),"",ROUND(G221-E222+D222,2))</f>
        <v>4736.18</v>
      </c>
      <c r="H222" s="237" t="n">
        <f aca="false">IF(G222&gt;0,IFERROR(H221+(H221*($D$16/12)),""),"")</f>
        <v>25.4199378092602</v>
      </c>
      <c r="I222" s="223" t="n">
        <f aca="false">IF(ISERROR(A223),"",12 - MONTH(B222))</f>
        <v>1</v>
      </c>
      <c r="J222" s="224" t="n">
        <f aca="false">K222</f>
        <v>1</v>
      </c>
      <c r="K222" s="225" t="n">
        <f aca="false">_xlfn.IFNA(IF(B222&gt;=$K$11, 1,0),0)</f>
        <v>1</v>
      </c>
      <c r="L222" s="60" t="str">
        <f aca="false">IF(I222=0,1,"")</f>
        <v/>
      </c>
      <c r="P222" s="4" t="n">
        <f aca="false">IF(AND(G222&gt;E222, A222&lt;&gt;0, V222&lt;&gt;0), $N$5 * ($P$22 ^ V222 - 1), 0)</f>
        <v>0</v>
      </c>
      <c r="V222" s="71" t="n">
        <f aca="false">IF(B222&lt;EDATE($K$11,12), 0,  DATEDIF(EDATE($K$11,12), B222 + 1, "y") + 1 )</f>
        <v>11</v>
      </c>
    </row>
    <row r="223" customFormat="false" ht="12.75" hidden="false" customHeight="true" outlineLevel="0" collapsed="false">
      <c r="A223" s="228" t="n">
        <f aca="false">IF(OR(G222="",G222&lt;=0,C222&gt;150),NA(),A222+1)</f>
        <v>195</v>
      </c>
      <c r="B223" s="229" t="n">
        <f aca="false">IF(ISERROR(A223),"",IF($D$9="Annually",EDATE(B222,12),EDATE(B222,1)))</f>
        <v>52228</v>
      </c>
      <c r="C223" s="230" t="n">
        <f aca="false">IF(ISERROR(A223),"",C222+IF($D$9="Monthly",1/12,1))</f>
        <v>77.2999999999993</v>
      </c>
      <c r="D223" s="231" t="n">
        <f aca="false">IF(L222&lt;&gt;1, IF(G222&lt;E222,0,D222),IF(L222=1,IFERROR(ROUND(IF($G222 - (E222 * 6) &lt; 0, D222, ($G222 - (E222 * 6)) * $D$8 / 12),2),0) ) )</f>
        <v>19.41</v>
      </c>
      <c r="E223" s="231" t="n">
        <f aca="false">IF(ISERROR(A223), 0,  MAX(0,   MIN(    ROUND(G222 + D223, 2),    ROUND(FV($S$5, IF(type=1, A223, A222), , IF(J223&lt;&gt;1, -$D$20, -$P$16 + P223), 2), 0)   )  ) )</f>
        <v>26</v>
      </c>
      <c r="F223" s="231" t="n">
        <f aca="false">IF(J223&lt;&gt;1, "", IF(J222&lt;&gt;0, F222, $K$12))</f>
        <v>1</v>
      </c>
      <c r="G223" s="232" t="n">
        <f aca="false">IF(ISERROR(A223),"",ROUND(G222-E223+D223,2))</f>
        <v>4729.59</v>
      </c>
      <c r="H223" s="237" t="n">
        <f aca="false">IF(G223&gt;0,IFERROR(H222+(H222*($D$16/12)),""),"")</f>
        <v>25.4623043722757</v>
      </c>
      <c r="I223" s="223" t="n">
        <f aca="false">IF(ISERROR(A224),"",12 - MONTH(B223))</f>
        <v>0</v>
      </c>
      <c r="J223" s="224" t="n">
        <f aca="false">K223</f>
        <v>1</v>
      </c>
      <c r="K223" s="225" t="n">
        <f aca="false">_xlfn.IFNA(IF(B223&gt;=$K$11, 1,0),0)</f>
        <v>1</v>
      </c>
      <c r="L223" s="60" t="n">
        <f aca="false">IF(I223=0,1,"")</f>
        <v>1</v>
      </c>
      <c r="P223" s="4" t="n">
        <f aca="false">IF(AND(G223&gt;E223, A223&lt;&gt;0, V223&lt;&gt;0), $N$5 * ($P$22 ^ V223 - 1), 0)</f>
        <v>0</v>
      </c>
      <c r="V223" s="71" t="n">
        <f aca="false">IF(B223&lt;EDATE($K$11,12), 0,  DATEDIF(EDATE($K$11,12), B223 + 1, "y") + 1 )</f>
        <v>11</v>
      </c>
    </row>
    <row r="224" customFormat="false" ht="12.75" hidden="false" customHeight="true" outlineLevel="0" collapsed="false">
      <c r="A224" s="228" t="n">
        <f aca="false">IF(OR(G223="",G223&lt;=0,C223&gt;150),NA(),A223+1)</f>
        <v>196</v>
      </c>
      <c r="B224" s="229" t="n">
        <f aca="false">IF(ISERROR(A224),"",IF($D$9="Annually",EDATE(B223,12),EDATE(B223,1)))</f>
        <v>52259</v>
      </c>
      <c r="C224" s="230" t="n">
        <f aca="false">IF(ISERROR(A224),"",C223+IF($D$9="Monthly",1/12,1))</f>
        <v>77.3833333333327</v>
      </c>
      <c r="D224" s="231" t="n">
        <f aca="false">IF(L223&lt;&gt;1, IF(G223&lt;E223,0,D223),IF(L223=1,IFERROR(ROUND(IF($G223 - (E223 * 6) &lt; 0, D223, ($G223 - (E223 * 6)) * $D$8 / 12),2),0) ) )</f>
        <v>19.06</v>
      </c>
      <c r="E224" s="231" t="n">
        <f aca="false">IF(ISERROR(A224), 0,  MAX(0,   MIN(    ROUND(G223 + D224, 2),    ROUND(FV($S$5, IF(type=1, A224, A223), , IF(J224&lt;&gt;1, -$D$20, -$P$16 + P224), 2), 0)   )  ) )</f>
        <v>26</v>
      </c>
      <c r="F224" s="231" t="n">
        <f aca="false">IF(J224&lt;&gt;1, "", IF(J223&lt;&gt;0, F223, $K$12))</f>
        <v>1</v>
      </c>
      <c r="G224" s="232" t="n">
        <f aca="false">IF(ISERROR(A224),"",ROUND(G223-E224+D224,2))</f>
        <v>4722.65</v>
      </c>
      <c r="H224" s="237" t="n">
        <f aca="false">IF(G224&gt;0,IFERROR(H223+(H223*($D$16/12)),""),"")</f>
        <v>25.5047415462295</v>
      </c>
      <c r="I224" s="223" t="n">
        <f aca="false">IF(ISERROR(A225),"",12 - MONTH(B224))</f>
        <v>11</v>
      </c>
      <c r="J224" s="224" t="n">
        <f aca="false">K224</f>
        <v>1</v>
      </c>
      <c r="K224" s="225" t="n">
        <f aca="false">_xlfn.IFNA(IF(B224&gt;=$K$11, 1,0),0)</f>
        <v>1</v>
      </c>
      <c r="L224" s="60" t="str">
        <f aca="false">IF(I224=0,1,"")</f>
        <v/>
      </c>
      <c r="P224" s="4" t="n">
        <f aca="false">IF(AND(G224&gt;E224, A224&lt;&gt;0, V224&lt;&gt;0), $N$5 * ($P$22 ^ V224 - 1), 0)</f>
        <v>0</v>
      </c>
      <c r="V224" s="71" t="n">
        <f aca="false">IF(B224&lt;EDATE($K$11,12), 0,  DATEDIF(EDATE($K$11,12), B224 + 1, "y") + 1 )</f>
        <v>12</v>
      </c>
    </row>
    <row r="225" customFormat="false" ht="12.75" hidden="false" customHeight="true" outlineLevel="0" collapsed="false">
      <c r="A225" s="228" t="n">
        <f aca="false">IF(OR(G224="",G224&lt;=0,C224&gt;150),NA(),A224+1)</f>
        <v>197</v>
      </c>
      <c r="B225" s="229" t="n">
        <f aca="false">IF(ISERROR(A225),"",IF($D$9="Annually",EDATE(B224,12),EDATE(B224,1)))</f>
        <v>52290</v>
      </c>
      <c r="C225" s="230" t="n">
        <f aca="false">IF(ISERROR(A225),"",C224+IF($D$9="Monthly",1/12,1))</f>
        <v>77.466666666666</v>
      </c>
      <c r="D225" s="231" t="n">
        <f aca="false">IF(L224&lt;&gt;1, IF(G224&lt;E224,0,D224),IF(L224=1,IFERROR(ROUND(IF($G224 - (E224 * 6) &lt; 0, D224, ($G224 - (E224 * 6)) * $D$8 / 12),2),0) ) )</f>
        <v>19.06</v>
      </c>
      <c r="E225" s="231" t="n">
        <f aca="false">IF(ISERROR(A225), 0,  MAX(0,   MIN(    ROUND(G224 + D225, 2),    ROUND(FV($S$5, IF(type=1, A225, A224), , IF(J225&lt;&gt;1, -$D$20, -$P$16 + P225), 2), 0)   )  ) )</f>
        <v>26</v>
      </c>
      <c r="F225" s="231" t="n">
        <f aca="false">IF(J225&lt;&gt;1, "", IF(J224&lt;&gt;0, F224, $K$12))</f>
        <v>1</v>
      </c>
      <c r="G225" s="232" t="n">
        <f aca="false">IF(ISERROR(A225),"",ROUND(G224-E225+D225,2))</f>
        <v>4715.71</v>
      </c>
      <c r="H225" s="237" t="n">
        <f aca="false">IF(G225&gt;0,IFERROR(H224+(H224*($D$16/12)),""),"")</f>
        <v>25.5472494488065</v>
      </c>
      <c r="I225" s="223" t="n">
        <f aca="false">IF(ISERROR(A226),"",12 - MONTH(B225))</f>
        <v>10</v>
      </c>
      <c r="J225" s="224" t="n">
        <f aca="false">K225</f>
        <v>1</v>
      </c>
      <c r="K225" s="225" t="n">
        <f aca="false">_xlfn.IFNA(IF(B225&gt;=$K$11, 1,0),0)</f>
        <v>1</v>
      </c>
      <c r="L225" s="60" t="str">
        <f aca="false">IF(I225=0,1,"")</f>
        <v/>
      </c>
      <c r="P225" s="4" t="n">
        <f aca="false">IF(AND(G225&gt;E225, A225&lt;&gt;0, V225&lt;&gt;0), $N$5 * ($P$22 ^ V225 - 1), 0)</f>
        <v>0</v>
      </c>
      <c r="V225" s="71" t="n">
        <f aca="false">IF(B225&lt;EDATE($K$11,12), 0,  DATEDIF(EDATE($K$11,12), B225 + 1, "y") + 1 )</f>
        <v>12</v>
      </c>
    </row>
    <row r="226" customFormat="false" ht="12.75" hidden="false" customHeight="true" outlineLevel="0" collapsed="false">
      <c r="A226" s="228" t="n">
        <f aca="false">IF(OR(G225="",G225&lt;=0,C225&gt;150),NA(),A225+1)</f>
        <v>198</v>
      </c>
      <c r="B226" s="229" t="n">
        <f aca="false">IF(ISERROR(A226),"",IF($D$9="Annually",EDATE(B225,12),EDATE(B225,1)))</f>
        <v>52318</v>
      </c>
      <c r="C226" s="230" t="n">
        <f aca="false">IF(ISERROR(A226),"",C225+IF($D$9="Monthly",1/12,1))</f>
        <v>77.5499999999993</v>
      </c>
      <c r="D226" s="231" t="n">
        <f aca="false">IF(L225&lt;&gt;1, IF(G225&lt;E225,0,D225),IF(L225=1,IFERROR(ROUND(IF($G225 - (E225 * 6) &lt; 0, D225, ($G225 - (E225 * 6)) * $D$8 / 12),2),0) ) )</f>
        <v>19.06</v>
      </c>
      <c r="E226" s="231" t="n">
        <f aca="false">IF(ISERROR(A226), 0,  MAX(0,   MIN(    ROUND(G225 + D226, 2),    ROUND(FV($S$5, IF(type=1, A226, A225), , IF(J226&lt;&gt;1, -$D$20, -$P$16 + P226), 2), 0)   )  ) )</f>
        <v>26</v>
      </c>
      <c r="F226" s="231" t="n">
        <f aca="false">IF(J226&lt;&gt;1, "", IF(J225&lt;&gt;0, F225, $K$12))</f>
        <v>1</v>
      </c>
      <c r="G226" s="232" t="n">
        <f aca="false">IF(ISERROR(A226),"",ROUND(G225-E226+D226,2))</f>
        <v>4708.77</v>
      </c>
      <c r="H226" s="237" t="n">
        <f aca="false">IF(G226&gt;0,IFERROR(H225+(H225*($D$16/12)),""),"")</f>
        <v>25.5898281978878</v>
      </c>
      <c r="I226" s="223" t="n">
        <f aca="false">IF(ISERROR(A227),"",12 - MONTH(B226))</f>
        <v>9</v>
      </c>
      <c r="J226" s="224" t="n">
        <f aca="false">K226</f>
        <v>1</v>
      </c>
      <c r="K226" s="225" t="n">
        <f aca="false">_xlfn.IFNA(IF(B226&gt;=$K$11, 1,0),0)</f>
        <v>1</v>
      </c>
      <c r="L226" s="60" t="str">
        <f aca="false">IF(I226=0,1,"")</f>
        <v/>
      </c>
      <c r="P226" s="4" t="n">
        <f aca="false">IF(AND(G226&gt;E226, A226&lt;&gt;0, V226&lt;&gt;0), $N$5 * ($P$22 ^ V226 - 1), 0)</f>
        <v>0</v>
      </c>
      <c r="V226" s="71" t="n">
        <f aca="false">IF(B226&lt;EDATE($K$11,12), 0,  DATEDIF(EDATE($K$11,12), B226 + 1, "y") + 1 )</f>
        <v>12</v>
      </c>
    </row>
    <row r="227" customFormat="false" ht="12.75" hidden="false" customHeight="true" outlineLevel="0" collapsed="false">
      <c r="A227" s="228" t="n">
        <f aca="false">IF(OR(G226="",G226&lt;=0,C226&gt;150),NA(),A226+1)</f>
        <v>199</v>
      </c>
      <c r="B227" s="229" t="n">
        <f aca="false">IF(ISERROR(A227),"",IF($D$9="Annually",EDATE(B226,12),EDATE(B226,1)))</f>
        <v>52349</v>
      </c>
      <c r="C227" s="230" t="n">
        <f aca="false">IF(ISERROR(A227),"",C226+IF($D$9="Monthly",1/12,1))</f>
        <v>77.6333333333326</v>
      </c>
      <c r="D227" s="231" t="n">
        <f aca="false">IF(L226&lt;&gt;1, IF(G226&lt;E226,0,D226),IF(L226=1,IFERROR(ROUND(IF($G226 - (E226 * 6) &lt; 0, D226, ($G226 - (E226 * 6)) * $D$8 / 12),2),0) ) )</f>
        <v>19.06</v>
      </c>
      <c r="E227" s="231" t="n">
        <f aca="false">IF(ISERROR(A227), 0,  MAX(0,   MIN(    ROUND(G226 + D227, 2),    ROUND(FV($S$5, IF(type=1, A227, A226), , IF(J227&lt;&gt;1, -$D$20, -$P$16 + P227), 2), 0)   )  ) )</f>
        <v>26</v>
      </c>
      <c r="F227" s="231" t="n">
        <f aca="false">IF(J227&lt;&gt;1, "", IF(J226&lt;&gt;0, F226, $K$12))</f>
        <v>1</v>
      </c>
      <c r="G227" s="232" t="n">
        <f aca="false">IF(ISERROR(A227),"",ROUND(G226-E227+D227,2))</f>
        <v>4701.83</v>
      </c>
      <c r="H227" s="237" t="n">
        <f aca="false">IF(G227&gt;0,IFERROR(H226+(H226*($D$16/12)),""),"")</f>
        <v>25.632477911551</v>
      </c>
      <c r="I227" s="223" t="n">
        <f aca="false">IF(ISERROR(A228),"",12 - MONTH(B227))</f>
        <v>8</v>
      </c>
      <c r="J227" s="224" t="n">
        <f aca="false">K227</f>
        <v>1</v>
      </c>
      <c r="K227" s="225" t="n">
        <f aca="false">_xlfn.IFNA(IF(B227&gt;=$K$11, 1,0),0)</f>
        <v>1</v>
      </c>
      <c r="L227" s="60" t="str">
        <f aca="false">IF(I227=0,1,"")</f>
        <v/>
      </c>
      <c r="P227" s="4" t="n">
        <f aca="false">IF(AND(G227&gt;E227, A227&lt;&gt;0, V227&lt;&gt;0), $N$5 * ($P$22 ^ V227 - 1), 0)</f>
        <v>0</v>
      </c>
      <c r="V227" s="71" t="n">
        <f aca="false">IF(B227&lt;EDATE($K$11,12), 0,  DATEDIF(EDATE($K$11,12), B227 + 1, "y") + 1 )</f>
        <v>12</v>
      </c>
    </row>
    <row r="228" customFormat="false" ht="12.75" hidden="false" customHeight="true" outlineLevel="0" collapsed="false">
      <c r="A228" s="228" t="n">
        <f aca="false">IF(OR(G227="",G227&lt;=0,C227&gt;150),NA(),A227+1)</f>
        <v>200</v>
      </c>
      <c r="B228" s="229" t="n">
        <f aca="false">IF(ISERROR(A228),"",IF($D$9="Annually",EDATE(B227,12),EDATE(B227,1)))</f>
        <v>52379</v>
      </c>
      <c r="C228" s="230" t="n">
        <f aca="false">IF(ISERROR(A228),"",C227+IF($D$9="Monthly",1/12,1))</f>
        <v>77.716666666666</v>
      </c>
      <c r="D228" s="231" t="n">
        <f aca="false">IF(L227&lt;&gt;1, IF(G227&lt;E227,0,D227),IF(L227=1,IFERROR(ROUND(IF($G227 - (E227 * 6) &lt; 0, D227, ($G227 - (E227 * 6)) * $D$8 / 12),2),0) ) )</f>
        <v>19.06</v>
      </c>
      <c r="E228" s="231" t="n">
        <f aca="false">IF(ISERROR(A228), 0,  MAX(0,   MIN(    ROUND(G227 + D228, 2),    ROUND(FV($S$5, IF(type=1, A228, A227), , IF(J228&lt;&gt;1, -$D$20, -$P$16 + P228), 2), 0)   )  ) )</f>
        <v>26</v>
      </c>
      <c r="F228" s="231" t="n">
        <f aca="false">IF(J228&lt;&gt;1, "", IF(J227&lt;&gt;0, F227, $K$12))</f>
        <v>1</v>
      </c>
      <c r="G228" s="232" t="n">
        <f aca="false">IF(ISERROR(A228),"",ROUND(G227-E228+D228,2))</f>
        <v>4694.89</v>
      </c>
      <c r="H228" s="237" t="n">
        <f aca="false">IF(G228&gt;0,IFERROR(H227+(H227*($D$16/12)),""),"")</f>
        <v>25.6751987080702</v>
      </c>
      <c r="I228" s="223" t="n">
        <f aca="false">IF(ISERROR(A229),"",12 - MONTH(B228))</f>
        <v>7</v>
      </c>
      <c r="J228" s="224" t="n">
        <f aca="false">K228</f>
        <v>1</v>
      </c>
      <c r="K228" s="225" t="n">
        <f aca="false">_xlfn.IFNA(IF(B228&gt;=$K$11, 1,0),0)</f>
        <v>1</v>
      </c>
      <c r="L228" s="60" t="str">
        <f aca="false">IF(I228=0,1,"")</f>
        <v/>
      </c>
      <c r="P228" s="4" t="n">
        <f aca="false">IF(AND(G228&gt;E228, A228&lt;&gt;0, V228&lt;&gt;0), $N$5 * ($P$22 ^ V228 - 1), 0)</f>
        <v>0</v>
      </c>
      <c r="V228" s="71" t="n">
        <f aca="false">IF(B228&lt;EDATE($K$11,12), 0,  DATEDIF(EDATE($K$11,12), B228 + 1, "y") + 1 )</f>
        <v>12</v>
      </c>
    </row>
    <row r="229" customFormat="false" ht="12.75" hidden="false" customHeight="true" outlineLevel="0" collapsed="false">
      <c r="A229" s="228" t="n">
        <f aca="false">IF(OR(G228="",G228&lt;=0,C228&gt;150),NA(),A228+1)</f>
        <v>201</v>
      </c>
      <c r="B229" s="229" t="n">
        <f aca="false">IF(ISERROR(A229),"",IF($D$9="Annually",EDATE(B228,12),EDATE(B228,1)))</f>
        <v>52410</v>
      </c>
      <c r="C229" s="230" t="n">
        <f aca="false">IF(ISERROR(A229),"",C228+IF($D$9="Monthly",1/12,1))</f>
        <v>77.7999999999993</v>
      </c>
      <c r="D229" s="231" t="n">
        <f aca="false">IF(L228&lt;&gt;1, IF(G228&lt;E228,0,D228),IF(L228=1,IFERROR(ROUND(IF($G228 - (E228 * 6) &lt; 0, D228, ($G228 - (E228 * 6)) * $D$8 / 12),2),0) ) )</f>
        <v>19.06</v>
      </c>
      <c r="E229" s="231" t="n">
        <f aca="false">IF(ISERROR(A229), 0,  MAX(0,   MIN(    ROUND(G228 + D229, 2),    ROUND(FV($S$5, IF(type=1, A229, A228), , IF(J229&lt;&gt;1, -$D$20, -$P$16 + P229), 2), 0)   )  ) )</f>
        <v>26</v>
      </c>
      <c r="F229" s="231" t="n">
        <f aca="false">IF(J229&lt;&gt;1, "", IF(J228&lt;&gt;0, F228, $K$12))</f>
        <v>1</v>
      </c>
      <c r="G229" s="232" t="n">
        <f aca="false">IF(ISERROR(A229),"",ROUND(G228-E229+D229,2))</f>
        <v>4687.95</v>
      </c>
      <c r="H229" s="237" t="n">
        <f aca="false">IF(G229&gt;0,IFERROR(H228+(H228*($D$16/12)),""),"")</f>
        <v>25.717990705917</v>
      </c>
      <c r="I229" s="223" t="n">
        <f aca="false">IF(ISERROR(A230),"",12 - MONTH(B229))</f>
        <v>6</v>
      </c>
      <c r="J229" s="224" t="n">
        <f aca="false">K229</f>
        <v>1</v>
      </c>
      <c r="K229" s="225" t="n">
        <f aca="false">_xlfn.IFNA(IF(B229&gt;=$K$11, 1,0),0)</f>
        <v>1</v>
      </c>
      <c r="L229" s="60" t="str">
        <f aca="false">IF(I229=0,1,"")</f>
        <v/>
      </c>
      <c r="P229" s="4" t="n">
        <f aca="false">IF(AND(G229&gt;E229, A229&lt;&gt;0, V229&lt;&gt;0), $N$5 * ($P$22 ^ V229 - 1), 0)</f>
        <v>0</v>
      </c>
      <c r="V229" s="71" t="n">
        <f aca="false">IF(B229&lt;EDATE($K$11,12), 0,  DATEDIF(EDATE($K$11,12), B229 + 1, "y") + 1 )</f>
        <v>12</v>
      </c>
    </row>
    <row r="230" customFormat="false" ht="12.75" hidden="false" customHeight="true" outlineLevel="0" collapsed="false">
      <c r="A230" s="228" t="n">
        <f aca="false">IF(OR(G229="",G229&lt;=0,C229&gt;150),NA(),A229+1)</f>
        <v>202</v>
      </c>
      <c r="B230" s="229" t="n">
        <f aca="false">IF(ISERROR(A230),"",IF($D$9="Annually",EDATE(B229,12),EDATE(B229,1)))</f>
        <v>52440</v>
      </c>
      <c r="C230" s="230" t="n">
        <f aca="false">IF(ISERROR(A230),"",C229+IF($D$9="Monthly",1/12,1))</f>
        <v>77.8833333333326</v>
      </c>
      <c r="D230" s="231" t="n">
        <f aca="false">IF(L229&lt;&gt;1, IF(G229&lt;E229,0,D229),IF(L229=1,IFERROR(ROUND(IF($G229 - (E229 * 6) &lt; 0, D229, ($G229 - (E229 * 6)) * $D$8 / 12),2),0) ) )</f>
        <v>19.06</v>
      </c>
      <c r="E230" s="231" t="n">
        <f aca="false">IF(ISERROR(A230), 0,  MAX(0,   MIN(    ROUND(G229 + D230, 2),    ROUND(FV($S$5, IF(type=1, A230, A229), , IF(J230&lt;&gt;1, -$D$20, -$P$16 + P230), 2), 0)   )  ) )</f>
        <v>26</v>
      </c>
      <c r="F230" s="231" t="n">
        <f aca="false">IF(J230&lt;&gt;1, "", IF(J229&lt;&gt;0, F229, $K$12))</f>
        <v>1</v>
      </c>
      <c r="G230" s="232" t="n">
        <f aca="false">IF(ISERROR(A230),"",ROUND(G229-E230+D230,2))</f>
        <v>4681.01</v>
      </c>
      <c r="H230" s="237" t="n">
        <f aca="false">IF(G230&gt;0,IFERROR(H229+(H229*($D$16/12)),""),"")</f>
        <v>25.7608540237602</v>
      </c>
      <c r="I230" s="223" t="n">
        <f aca="false">IF(ISERROR(A231),"",12 - MONTH(B230))</f>
        <v>5</v>
      </c>
      <c r="J230" s="224" t="n">
        <f aca="false">K230</f>
        <v>1</v>
      </c>
      <c r="K230" s="225" t="n">
        <f aca="false">_xlfn.IFNA(IF(B230&gt;=$K$11, 1,0),0)</f>
        <v>1</v>
      </c>
      <c r="L230" s="60" t="str">
        <f aca="false">IF(I230=0,1,"")</f>
        <v/>
      </c>
      <c r="P230" s="4" t="n">
        <f aca="false">IF(AND(G230&gt;E230, A230&lt;&gt;0, V230&lt;&gt;0), $N$5 * ($P$22 ^ V230 - 1), 0)</f>
        <v>0</v>
      </c>
      <c r="V230" s="71" t="n">
        <f aca="false">IF(B230&lt;EDATE($K$11,12), 0,  DATEDIF(EDATE($K$11,12), B230 + 1, "y") + 1 )</f>
        <v>12</v>
      </c>
    </row>
    <row r="231" customFormat="false" ht="12.75" hidden="false" customHeight="true" outlineLevel="0" collapsed="false">
      <c r="A231" s="228" t="n">
        <f aca="false">IF(OR(G230="",G230&lt;=0,C230&gt;150),NA(),A230+1)</f>
        <v>203</v>
      </c>
      <c r="B231" s="229" t="n">
        <f aca="false">IF(ISERROR(A231),"",IF($D$9="Annually",EDATE(B230,12),EDATE(B230,1)))</f>
        <v>52471</v>
      </c>
      <c r="C231" s="230" t="n">
        <f aca="false">IF(ISERROR(A231),"",C230+IF($D$9="Monthly",1/12,1))</f>
        <v>77.966666666666</v>
      </c>
      <c r="D231" s="231" t="n">
        <f aca="false">IF(L230&lt;&gt;1, IF(G230&lt;E230,0,D230),IF(L230=1,IFERROR(ROUND(IF($G230 - (E230 * 6) &lt; 0, D230, ($G230 - (E230 * 6)) * $D$8 / 12),2),0) ) )</f>
        <v>19.06</v>
      </c>
      <c r="E231" s="231" t="n">
        <f aca="false">IF(ISERROR(A231), 0,  MAX(0,   MIN(    ROUND(G230 + D231, 2),    ROUND(FV($S$5, IF(type=1, A231, A230), , IF(J231&lt;&gt;1, -$D$20, -$P$16 + P231), 2), 0)   )  ) )</f>
        <v>26</v>
      </c>
      <c r="F231" s="231" t="n">
        <f aca="false">IF(J231&lt;&gt;1, "", IF(J230&lt;&gt;0, F230, $K$12))</f>
        <v>1</v>
      </c>
      <c r="G231" s="232" t="n">
        <f aca="false">IF(ISERROR(A231),"",ROUND(G230-E231+D231,2))</f>
        <v>4674.07</v>
      </c>
      <c r="H231" s="237" t="n">
        <f aca="false">IF(G231&gt;0,IFERROR(H230+(H230*($D$16/12)),""),"")</f>
        <v>25.8037887804665</v>
      </c>
      <c r="I231" s="223" t="n">
        <f aca="false">IF(ISERROR(A232),"",12 - MONTH(B231))</f>
        <v>4</v>
      </c>
      <c r="J231" s="224" t="n">
        <f aca="false">K231</f>
        <v>1</v>
      </c>
      <c r="K231" s="225" t="n">
        <f aca="false">_xlfn.IFNA(IF(B231&gt;=$K$11, 1,0),0)</f>
        <v>1</v>
      </c>
      <c r="L231" s="60" t="str">
        <f aca="false">IF(I231=0,1,"")</f>
        <v/>
      </c>
      <c r="P231" s="4" t="n">
        <f aca="false">IF(AND(G231&gt;E231, A231&lt;&gt;0, V231&lt;&gt;0), $N$5 * ($P$22 ^ V231 - 1), 0)</f>
        <v>0</v>
      </c>
      <c r="V231" s="71" t="n">
        <f aca="false">IF(B231&lt;EDATE($K$11,12), 0,  DATEDIF(EDATE($K$11,12), B231 + 1, "y") + 1 )</f>
        <v>12</v>
      </c>
    </row>
    <row r="232" customFormat="false" ht="12.75" hidden="false" customHeight="true" outlineLevel="0" collapsed="false">
      <c r="A232" s="228" t="n">
        <f aca="false">IF(OR(G231="",G231&lt;=0,C231&gt;150),NA(),A231+1)</f>
        <v>204</v>
      </c>
      <c r="B232" s="229" t="n">
        <f aca="false">IF(ISERROR(A232),"",IF($D$9="Annually",EDATE(B231,12),EDATE(B231,1)))</f>
        <v>52502</v>
      </c>
      <c r="C232" s="230" t="n">
        <f aca="false">IF(ISERROR(A232),"",C231+IF($D$9="Monthly",1/12,1))</f>
        <v>78.0499999999993</v>
      </c>
      <c r="D232" s="231" t="n">
        <f aca="false">IF(L231&lt;&gt;1, IF(G231&lt;E231,0,D231),IF(L231=1,IFERROR(ROUND(IF($G231 - (E231 * 6) &lt; 0, D231, ($G231 - (E231 * 6)) * $D$8 / 12),2),0) ) )</f>
        <v>19.06</v>
      </c>
      <c r="E232" s="231" t="n">
        <f aca="false">IF(ISERROR(A232), 0,  MAX(0,   MIN(    ROUND(G231 + D232, 2),    ROUND(FV($S$5, IF(type=1, A232, A231), , IF(J232&lt;&gt;1, -$D$20, -$P$16 + P232), 2), 0)   )  ) )</f>
        <v>26</v>
      </c>
      <c r="F232" s="231" t="n">
        <f aca="false">IF(J232&lt;&gt;1, "", IF(J231&lt;&gt;0, F231, $K$12))</f>
        <v>1</v>
      </c>
      <c r="G232" s="232" t="n">
        <f aca="false">IF(ISERROR(A232),"",ROUND(G231-E232+D232,2))</f>
        <v>4667.13</v>
      </c>
      <c r="H232" s="237" t="n">
        <f aca="false">IF(G232&gt;0,IFERROR(H231+(H231*($D$16/12)),""),"")</f>
        <v>25.8467950951006</v>
      </c>
      <c r="I232" s="223" t="n">
        <f aca="false">IF(ISERROR(A233),"",12 - MONTH(B232))</f>
        <v>3</v>
      </c>
      <c r="J232" s="224" t="n">
        <f aca="false">K232</f>
        <v>1</v>
      </c>
      <c r="K232" s="225" t="n">
        <f aca="false">_xlfn.IFNA(IF(B232&gt;=$K$11, 1,0),0)</f>
        <v>1</v>
      </c>
      <c r="L232" s="60" t="str">
        <f aca="false">IF(I232=0,1,"")</f>
        <v/>
      </c>
      <c r="P232" s="4" t="n">
        <f aca="false">IF(AND(G232&gt;E232, A232&lt;&gt;0, V232&lt;&gt;0), $N$5 * ($P$22 ^ V232 - 1), 0)</f>
        <v>0</v>
      </c>
      <c r="V232" s="71" t="n">
        <f aca="false">IF(B232&lt;EDATE($K$11,12), 0,  DATEDIF(EDATE($K$11,12), B232 + 1, "y") + 1 )</f>
        <v>12</v>
      </c>
    </row>
    <row r="233" customFormat="false" ht="12.75" hidden="false" customHeight="true" outlineLevel="0" collapsed="false">
      <c r="A233" s="228" t="n">
        <f aca="false">IF(OR(G232="",G232&lt;=0,C232&gt;150),NA(),A232+1)</f>
        <v>205</v>
      </c>
      <c r="B233" s="229" t="n">
        <f aca="false">IF(ISERROR(A233),"",IF($D$9="Annually",EDATE(B232,12),EDATE(B232,1)))</f>
        <v>52532</v>
      </c>
      <c r="C233" s="230" t="n">
        <f aca="false">IF(ISERROR(A233),"",C232+IF($D$9="Monthly",1/12,1))</f>
        <v>78.1333333333326</v>
      </c>
      <c r="D233" s="231" t="n">
        <f aca="false">IF(L232&lt;&gt;1, IF(G232&lt;E232,0,D232),IF(L232=1,IFERROR(ROUND(IF($G232 - (E232 * 6) &lt; 0, D232, ($G232 - (E232 * 6)) * $D$8 / 12),2),0) ) )</f>
        <v>19.06</v>
      </c>
      <c r="E233" s="231" t="n">
        <f aca="false">IF(ISERROR(A233), 0,  MAX(0,   MIN(    ROUND(G232 + D233, 2),    ROUND(FV($S$5, IF(type=1, A233, A232), , IF(J233&lt;&gt;1, -$D$20, -$P$16 + P233), 2), 0)   )  ) )</f>
        <v>26</v>
      </c>
      <c r="F233" s="231" t="n">
        <f aca="false">IF(J233&lt;&gt;1, "", IF(J232&lt;&gt;0, F232, $K$12))</f>
        <v>1</v>
      </c>
      <c r="G233" s="232" t="n">
        <f aca="false">IF(ISERROR(A233),"",ROUND(G232-E233+D233,2))</f>
        <v>4660.19</v>
      </c>
      <c r="H233" s="237" t="n">
        <f aca="false">IF(G233&gt;0,IFERROR(H232+(H232*($D$16/12)),""),"")</f>
        <v>25.8898730869258</v>
      </c>
      <c r="I233" s="223" t="n">
        <f aca="false">IF(ISERROR(A234),"",12 - MONTH(B233))</f>
        <v>2</v>
      </c>
      <c r="J233" s="224" t="n">
        <f aca="false">K233</f>
        <v>1</v>
      </c>
      <c r="K233" s="225" t="n">
        <f aca="false">_xlfn.IFNA(IF(B233&gt;=$K$11, 1,0),0)</f>
        <v>1</v>
      </c>
      <c r="L233" s="60" t="str">
        <f aca="false">IF(I233=0,1,"")</f>
        <v/>
      </c>
      <c r="P233" s="4" t="n">
        <f aca="false">IF(AND(G233&gt;E233, A233&lt;&gt;0, V233&lt;&gt;0), $N$5 * ($P$22 ^ V233 - 1), 0)</f>
        <v>0</v>
      </c>
      <c r="V233" s="71" t="n">
        <f aca="false">IF(B233&lt;EDATE($K$11,12), 0,  DATEDIF(EDATE($K$11,12), B233 + 1, "y") + 1 )</f>
        <v>12</v>
      </c>
    </row>
    <row r="234" customFormat="false" ht="12.75" hidden="false" customHeight="true" outlineLevel="0" collapsed="false">
      <c r="A234" s="228" t="n">
        <f aca="false">IF(OR(G233="",G233&lt;=0,C233&gt;150),NA(),A233+1)</f>
        <v>206</v>
      </c>
      <c r="B234" s="229" t="n">
        <f aca="false">IF(ISERROR(A234),"",IF($D$9="Annually",EDATE(B233,12),EDATE(B233,1)))</f>
        <v>52563</v>
      </c>
      <c r="C234" s="230" t="n">
        <f aca="false">IF(ISERROR(A234),"",C233+IF($D$9="Monthly",1/12,1))</f>
        <v>78.2166666666659</v>
      </c>
      <c r="D234" s="231" t="n">
        <f aca="false">IF(L233&lt;&gt;1, IF(G233&lt;E233,0,D233),IF(L233=1,IFERROR(ROUND(IF($G233 - (E233 * 6) &lt; 0, D233, ($G233 - (E233 * 6)) * $D$8 / 12),2),0) ) )</f>
        <v>19.06</v>
      </c>
      <c r="E234" s="231" t="n">
        <f aca="false">IF(ISERROR(A234), 0,  MAX(0,   MIN(    ROUND(G233 + D234, 2),    ROUND(FV($S$5, IF(type=1, A234, A233), , IF(J234&lt;&gt;1, -$D$20, -$P$16 + P234), 2), 0)   )  ) )</f>
        <v>26</v>
      </c>
      <c r="F234" s="231" t="n">
        <f aca="false">IF(J234&lt;&gt;1, "", IF(J233&lt;&gt;0, F233, $K$12))</f>
        <v>1</v>
      </c>
      <c r="G234" s="232" t="n">
        <f aca="false">IF(ISERROR(A234),"",ROUND(G233-E234+D234,2))</f>
        <v>4653.25</v>
      </c>
      <c r="H234" s="237" t="n">
        <f aca="false">IF(G234&gt;0,IFERROR(H233+(H233*($D$16/12)),""),"")</f>
        <v>25.933022875404</v>
      </c>
      <c r="I234" s="223" t="n">
        <f aca="false">IF(ISERROR(A235),"",12 - MONTH(B234))</f>
        <v>1</v>
      </c>
      <c r="J234" s="224" t="n">
        <f aca="false">K234</f>
        <v>1</v>
      </c>
      <c r="K234" s="225" t="n">
        <f aca="false">_xlfn.IFNA(IF(B234&gt;=$K$11, 1,0),0)</f>
        <v>1</v>
      </c>
      <c r="L234" s="60" t="str">
        <f aca="false">IF(I234=0,1,"")</f>
        <v/>
      </c>
      <c r="P234" s="4" t="n">
        <f aca="false">IF(AND(G234&gt;E234, A234&lt;&gt;0, V234&lt;&gt;0), $N$5 * ($P$22 ^ V234 - 1), 0)</f>
        <v>0</v>
      </c>
      <c r="V234" s="71" t="n">
        <f aca="false">IF(B234&lt;EDATE($K$11,12), 0,  DATEDIF(EDATE($K$11,12), B234 + 1, "y") + 1 )</f>
        <v>12</v>
      </c>
    </row>
    <row r="235" customFormat="false" ht="12.75" hidden="false" customHeight="true" outlineLevel="0" collapsed="false">
      <c r="A235" s="228" t="n">
        <f aca="false">IF(OR(G234="",G234&lt;=0,C234&gt;150),NA(),A234+1)</f>
        <v>207</v>
      </c>
      <c r="B235" s="229" t="n">
        <f aca="false">IF(ISERROR(A235),"",IF($D$9="Annually",EDATE(B234,12),EDATE(B234,1)))</f>
        <v>52593</v>
      </c>
      <c r="C235" s="230" t="n">
        <f aca="false">IF(ISERROR(A235),"",C234+IF($D$9="Monthly",1/12,1))</f>
        <v>78.2999999999993</v>
      </c>
      <c r="D235" s="231" t="n">
        <f aca="false">IF(L234&lt;&gt;1, IF(G234&lt;E234,0,D234),IF(L234=1,IFERROR(ROUND(IF($G234 - (E234 * 6) &lt; 0, D234, ($G234 - (E234 * 6)) * $D$8 / 12),2),0) ) )</f>
        <v>19.06</v>
      </c>
      <c r="E235" s="231" t="n">
        <f aca="false">IF(ISERROR(A235), 0,  MAX(0,   MIN(    ROUND(G234 + D235, 2),    ROUND(FV($S$5, IF(type=1, A235, A234), , IF(J235&lt;&gt;1, -$D$20, -$P$16 + P235), 2), 0)   )  ) )</f>
        <v>26</v>
      </c>
      <c r="F235" s="231" t="n">
        <f aca="false">IF(J235&lt;&gt;1, "", IF(J234&lt;&gt;0, F234, $K$12))</f>
        <v>1</v>
      </c>
      <c r="G235" s="232" t="n">
        <f aca="false">IF(ISERROR(A235),"",ROUND(G234-E235+D235,2))</f>
        <v>4646.31</v>
      </c>
      <c r="H235" s="237" t="n">
        <f aca="false">IF(G235&gt;0,IFERROR(H234+(H234*($D$16/12)),""),"")</f>
        <v>25.9762445801963</v>
      </c>
      <c r="I235" s="223" t="n">
        <f aca="false">IF(ISERROR(A236),"",12 - MONTH(B235))</f>
        <v>0</v>
      </c>
      <c r="J235" s="224" t="n">
        <f aca="false">K235</f>
        <v>1</v>
      </c>
      <c r="K235" s="225" t="n">
        <f aca="false">_xlfn.IFNA(IF(B235&gt;=$K$11, 1,0),0)</f>
        <v>1</v>
      </c>
      <c r="L235" s="60" t="n">
        <f aca="false">IF(I235=0,1,"")</f>
        <v>1</v>
      </c>
      <c r="P235" s="4" t="n">
        <f aca="false">IF(AND(G235&gt;E235, A235&lt;&gt;0, V235&lt;&gt;0), $N$5 * ($P$22 ^ V235 - 1), 0)</f>
        <v>0</v>
      </c>
      <c r="V235" s="71" t="n">
        <f aca="false">IF(B235&lt;EDATE($K$11,12), 0,  DATEDIF(EDATE($K$11,12), B235 + 1, "y") + 1 )</f>
        <v>12</v>
      </c>
    </row>
    <row r="236" customFormat="false" ht="12.75" hidden="false" customHeight="true" outlineLevel="0" collapsed="false">
      <c r="A236" s="228" t="n">
        <f aca="false">IF(OR(G235="",G235&lt;=0,C235&gt;150),NA(),A235+1)</f>
        <v>208</v>
      </c>
      <c r="B236" s="229" t="n">
        <f aca="false">IF(ISERROR(A236),"",IF($D$9="Annually",EDATE(B235,12),EDATE(B235,1)))</f>
        <v>52624</v>
      </c>
      <c r="C236" s="230" t="n">
        <f aca="false">IF(ISERROR(A236),"",C235+IF($D$9="Monthly",1/12,1))</f>
        <v>78.3833333333326</v>
      </c>
      <c r="D236" s="231" t="n">
        <f aca="false">IF(L235&lt;&gt;1, IF(G235&lt;E235,0,D235),IF(L235=1,IFERROR(ROUND(IF($G235 - (E235 * 6) &lt; 0, D235, ($G235 - (E235 * 6)) * $D$8 / 12),2),0) ) )</f>
        <v>18.71</v>
      </c>
      <c r="E236" s="231" t="n">
        <f aca="false">IF(ISERROR(A236), 0,  MAX(0,   MIN(    ROUND(G235 + D236, 2),    ROUND(FV($S$5, IF(type=1, A236, A235), , IF(J236&lt;&gt;1, -$D$20, -$P$16 + P236), 2), 0)   )  ) )</f>
        <v>27</v>
      </c>
      <c r="F236" s="231" t="n">
        <f aca="false">IF(J236&lt;&gt;1, "", IF(J235&lt;&gt;0, F235, $K$12))</f>
        <v>1</v>
      </c>
      <c r="G236" s="232" t="n">
        <f aca="false">IF(ISERROR(A236),"",ROUND(G235-E236+D236,2))</f>
        <v>4638.02</v>
      </c>
      <c r="H236" s="237" t="n">
        <f aca="false">IF(G236&gt;0,IFERROR(H235+(H235*($D$16/12)),""),"")</f>
        <v>26.0195383211633</v>
      </c>
      <c r="I236" s="223" t="n">
        <f aca="false">IF(ISERROR(A237),"",12 - MONTH(B236))</f>
        <v>11</v>
      </c>
      <c r="J236" s="224" t="n">
        <f aca="false">K236</f>
        <v>1</v>
      </c>
      <c r="K236" s="225" t="n">
        <f aca="false">_xlfn.IFNA(IF(B236&gt;=$K$11, 1,0),0)</f>
        <v>1</v>
      </c>
      <c r="L236" s="60" t="str">
        <f aca="false">IF(I236=0,1,"")</f>
        <v/>
      </c>
      <c r="P236" s="4" t="n">
        <f aca="false">IF(AND(G236&gt;E236, A236&lt;&gt;0, V236&lt;&gt;0), $N$5 * ($P$22 ^ V236 - 1), 0)</f>
        <v>0</v>
      </c>
      <c r="V236" s="71" t="n">
        <f aca="false">IF(B236&lt;EDATE($K$11,12), 0,  DATEDIF(EDATE($K$11,12), B236 + 1, "y") + 1 )</f>
        <v>13</v>
      </c>
    </row>
    <row r="237" customFormat="false" ht="12.75" hidden="false" customHeight="true" outlineLevel="0" collapsed="false">
      <c r="A237" s="228" t="n">
        <f aca="false">IF(OR(G236="",G236&lt;=0,C236&gt;150),NA(),A236+1)</f>
        <v>209</v>
      </c>
      <c r="B237" s="229" t="n">
        <f aca="false">IF(ISERROR(A237),"",IF($D$9="Annually",EDATE(B236,12),EDATE(B236,1)))</f>
        <v>52655</v>
      </c>
      <c r="C237" s="230" t="n">
        <f aca="false">IF(ISERROR(A237),"",C236+IF($D$9="Monthly",1/12,1))</f>
        <v>78.4666666666659</v>
      </c>
      <c r="D237" s="231" t="n">
        <f aca="false">IF(L236&lt;&gt;1, IF(G236&lt;E236,0,D236),IF(L236=1,IFERROR(ROUND(IF($G236 - (E236 * 6) &lt; 0, D236, ($G236 - (E236 * 6)) * $D$8 / 12),2),0) ) )</f>
        <v>18.71</v>
      </c>
      <c r="E237" s="231" t="n">
        <f aca="false">IF(ISERROR(A237), 0,  MAX(0,   MIN(    ROUND(G236 + D237, 2),    ROUND(FV($S$5, IF(type=1, A237, A236), , IF(J237&lt;&gt;1, -$D$20, -$P$16 + P237), 2), 0)   )  ) )</f>
        <v>27</v>
      </c>
      <c r="F237" s="231" t="n">
        <f aca="false">IF(J237&lt;&gt;1, "", IF(J236&lt;&gt;0, F236, $K$12))</f>
        <v>1</v>
      </c>
      <c r="G237" s="232" t="n">
        <f aca="false">IF(ISERROR(A237),"",ROUND(G236-E237+D237,2))</f>
        <v>4629.73</v>
      </c>
      <c r="H237" s="237" t="n">
        <f aca="false">IF(G237&gt;0,IFERROR(H236+(H236*($D$16/12)),""),"")</f>
        <v>26.0629042183653</v>
      </c>
      <c r="I237" s="223" t="n">
        <f aca="false">IF(ISERROR(A238),"",12 - MONTH(B237))</f>
        <v>10</v>
      </c>
      <c r="J237" s="224" t="n">
        <f aca="false">K237</f>
        <v>1</v>
      </c>
      <c r="K237" s="225" t="n">
        <f aca="false">_xlfn.IFNA(IF(B237&gt;=$K$11, 1,0),0)</f>
        <v>1</v>
      </c>
      <c r="L237" s="60" t="str">
        <f aca="false">IF(I237=0,1,"")</f>
        <v/>
      </c>
      <c r="P237" s="4" t="n">
        <f aca="false">IF(AND(G237&gt;E237, A237&lt;&gt;0, V237&lt;&gt;0), $N$5 * ($P$22 ^ V237 - 1), 0)</f>
        <v>0</v>
      </c>
      <c r="V237" s="71" t="n">
        <f aca="false">IF(B237&lt;EDATE($K$11,12), 0,  DATEDIF(EDATE($K$11,12), B237 + 1, "y") + 1 )</f>
        <v>13</v>
      </c>
    </row>
    <row r="238" customFormat="false" ht="12.75" hidden="false" customHeight="true" outlineLevel="0" collapsed="false">
      <c r="A238" s="228" t="n">
        <f aca="false">IF(OR(G237="",G237&lt;=0,C237&gt;150),NA(),A237+1)</f>
        <v>210</v>
      </c>
      <c r="B238" s="229" t="n">
        <f aca="false">IF(ISERROR(A238),"",IF($D$9="Annually",EDATE(B237,12),EDATE(B237,1)))</f>
        <v>52684</v>
      </c>
      <c r="C238" s="230" t="n">
        <f aca="false">IF(ISERROR(A238),"",C237+IF($D$9="Monthly",1/12,1))</f>
        <v>78.5499999999993</v>
      </c>
      <c r="D238" s="231" t="n">
        <f aca="false">IF(L237&lt;&gt;1, IF(G237&lt;E237,0,D237),IF(L237=1,IFERROR(ROUND(IF($G237 - (E237 * 6) &lt; 0, D237, ($G237 - (E237 * 6)) * $D$8 / 12),2),0) ) )</f>
        <v>18.71</v>
      </c>
      <c r="E238" s="231" t="n">
        <f aca="false">IF(ISERROR(A238), 0,  MAX(0,   MIN(    ROUND(G237 + D238, 2),    ROUND(FV($S$5, IF(type=1, A238, A237), , IF(J238&lt;&gt;1, -$D$20, -$P$16 + P238), 2), 0)   )  ) )</f>
        <v>27</v>
      </c>
      <c r="F238" s="231" t="n">
        <f aca="false">IF(J238&lt;&gt;1, "", IF(J237&lt;&gt;0, F237, $K$12))</f>
        <v>1</v>
      </c>
      <c r="G238" s="232" t="n">
        <f aca="false">IF(ISERROR(A238),"",ROUND(G237-E238+D238,2))</f>
        <v>4621.44</v>
      </c>
      <c r="H238" s="237" t="n">
        <f aca="false">IF(G238&gt;0,IFERROR(H237+(H237*($D$16/12)),""),"")</f>
        <v>26.1063423920625</v>
      </c>
      <c r="I238" s="223" t="n">
        <f aca="false">IF(ISERROR(A239),"",12 - MONTH(B238))</f>
        <v>9</v>
      </c>
      <c r="J238" s="224" t="n">
        <f aca="false">K238</f>
        <v>1</v>
      </c>
      <c r="K238" s="225" t="n">
        <f aca="false">_xlfn.IFNA(IF(B238&gt;=$K$11, 1,0),0)</f>
        <v>1</v>
      </c>
      <c r="L238" s="60" t="str">
        <f aca="false">IF(I238=0,1,"")</f>
        <v/>
      </c>
      <c r="P238" s="4" t="n">
        <f aca="false">IF(AND(G238&gt;E238, A238&lt;&gt;0, V238&lt;&gt;0), $N$5 * ($P$22 ^ V238 - 1), 0)</f>
        <v>0</v>
      </c>
      <c r="V238" s="71" t="n">
        <f aca="false">IF(B238&lt;EDATE($K$11,12), 0,  DATEDIF(EDATE($K$11,12), B238 + 1, "y") + 1 )</f>
        <v>13</v>
      </c>
    </row>
    <row r="239" customFormat="false" ht="12.75" hidden="false" customHeight="true" outlineLevel="0" collapsed="false">
      <c r="A239" s="228" t="n">
        <f aca="false">IF(OR(G238="",G238&lt;=0,C238&gt;150),NA(),A238+1)</f>
        <v>211</v>
      </c>
      <c r="B239" s="229" t="n">
        <f aca="false">IF(ISERROR(A239),"",IF($D$9="Annually",EDATE(B238,12),EDATE(B238,1)))</f>
        <v>52715</v>
      </c>
      <c r="C239" s="230" t="n">
        <f aca="false">IF(ISERROR(A239),"",C238+IF($D$9="Monthly",1/12,1))</f>
        <v>78.6333333333326</v>
      </c>
      <c r="D239" s="231" t="n">
        <f aca="false">IF(L238&lt;&gt;1, IF(G238&lt;E238,0,D238),IF(L238=1,IFERROR(ROUND(IF($G238 - (E238 * 6) &lt; 0, D238, ($G238 - (E238 * 6)) * $D$8 / 12),2),0) ) )</f>
        <v>18.71</v>
      </c>
      <c r="E239" s="231" t="n">
        <f aca="false">IF(ISERROR(A239), 0,  MAX(0,   MIN(    ROUND(G238 + D239, 2),    ROUND(FV($S$5, IF(type=1, A239, A238), , IF(J239&lt;&gt;1, -$D$20, -$P$16 + P239), 2), 0)   )  ) )</f>
        <v>27</v>
      </c>
      <c r="F239" s="231" t="n">
        <f aca="false">IF(J239&lt;&gt;1, "", IF(J238&lt;&gt;0, F238, $K$12))</f>
        <v>1</v>
      </c>
      <c r="G239" s="232" t="n">
        <f aca="false">IF(ISERROR(A239),"",ROUND(G238-E239+D239,2))</f>
        <v>4613.15</v>
      </c>
      <c r="H239" s="237" t="n">
        <f aca="false">IF(G239&gt;0,IFERROR(H238+(H238*($D$16/12)),""),"")</f>
        <v>26.149852962716</v>
      </c>
      <c r="I239" s="223" t="n">
        <f aca="false">IF(ISERROR(A240),"",12 - MONTH(B239))</f>
        <v>8</v>
      </c>
      <c r="J239" s="224" t="n">
        <f aca="false">K239</f>
        <v>1</v>
      </c>
      <c r="K239" s="225" t="n">
        <f aca="false">_xlfn.IFNA(IF(B239&gt;=$K$11, 1,0),0)</f>
        <v>1</v>
      </c>
      <c r="L239" s="60" t="str">
        <f aca="false">IF(I239=0,1,"")</f>
        <v/>
      </c>
      <c r="P239" s="4" t="n">
        <f aca="false">IF(AND(G239&gt;E239, A239&lt;&gt;0, V239&lt;&gt;0), $N$5 * ($P$22 ^ V239 - 1), 0)</f>
        <v>0</v>
      </c>
      <c r="V239" s="71" t="n">
        <f aca="false">IF(B239&lt;EDATE($K$11,12), 0,  DATEDIF(EDATE($K$11,12), B239 + 1, "y") + 1 )</f>
        <v>13</v>
      </c>
    </row>
    <row r="240" customFormat="false" ht="12.75" hidden="false" customHeight="true" outlineLevel="0" collapsed="false">
      <c r="A240" s="228" t="n">
        <f aca="false">IF(OR(G239="",G239&lt;=0,C239&gt;150),NA(),A239+1)</f>
        <v>212</v>
      </c>
      <c r="B240" s="229" t="n">
        <f aca="false">IF(ISERROR(A240),"",IF($D$9="Annually",EDATE(B239,12),EDATE(B239,1)))</f>
        <v>52745</v>
      </c>
      <c r="C240" s="230" t="n">
        <f aca="false">IF(ISERROR(A240),"",C239+IF($D$9="Monthly",1/12,1))</f>
        <v>78.7166666666659</v>
      </c>
      <c r="D240" s="231" t="n">
        <f aca="false">IF(L239&lt;&gt;1, IF(G239&lt;E239,0,D239),IF(L239=1,IFERROR(ROUND(IF($G239 - (E239 * 6) &lt; 0, D239, ($G239 - (E239 * 6)) * $D$8 / 12),2),0) ) )</f>
        <v>18.71</v>
      </c>
      <c r="E240" s="231" t="n">
        <f aca="false">IF(ISERROR(A240), 0,  MAX(0,   MIN(    ROUND(G239 + D240, 2),    ROUND(FV($S$5, IF(type=1, A240, A239), , IF(J240&lt;&gt;1, -$D$20, -$P$16 + P240), 2), 0)   )  ) )</f>
        <v>27</v>
      </c>
      <c r="F240" s="231" t="n">
        <f aca="false">IF(J240&lt;&gt;1, "", IF(J239&lt;&gt;0, F239, $K$12))</f>
        <v>1</v>
      </c>
      <c r="G240" s="232" t="n">
        <f aca="false">IF(ISERROR(A240),"",ROUND(G239-E240+D240,2))</f>
        <v>4604.86</v>
      </c>
      <c r="H240" s="237" t="n">
        <f aca="false">IF(G240&gt;0,IFERROR(H239+(H239*($D$16/12)),""),"")</f>
        <v>26.1934360509872</v>
      </c>
      <c r="I240" s="223" t="n">
        <f aca="false">IF(ISERROR(A241),"",12 - MONTH(B240))</f>
        <v>7</v>
      </c>
      <c r="J240" s="224" t="n">
        <f aca="false">K240</f>
        <v>1</v>
      </c>
      <c r="K240" s="225" t="n">
        <f aca="false">_xlfn.IFNA(IF(B240&gt;=$K$11, 1,0),0)</f>
        <v>1</v>
      </c>
      <c r="L240" s="60" t="str">
        <f aca="false">IF(I240=0,1,"")</f>
        <v/>
      </c>
      <c r="P240" s="4" t="n">
        <f aca="false">IF(AND(G240&gt;E240, A240&lt;&gt;0, V240&lt;&gt;0), $N$5 * ($P$22 ^ V240 - 1), 0)</f>
        <v>0</v>
      </c>
      <c r="V240" s="71" t="n">
        <f aca="false">IF(B240&lt;EDATE($K$11,12), 0,  DATEDIF(EDATE($K$11,12), B240 + 1, "y") + 1 )</f>
        <v>13</v>
      </c>
    </row>
    <row r="241" customFormat="false" ht="12.75" hidden="false" customHeight="true" outlineLevel="0" collapsed="false">
      <c r="A241" s="228" t="n">
        <f aca="false">IF(OR(G240="",G240&lt;=0,C240&gt;150),NA(),A240+1)</f>
        <v>213</v>
      </c>
      <c r="B241" s="229" t="n">
        <f aca="false">IF(ISERROR(A241),"",IF($D$9="Annually",EDATE(B240,12),EDATE(B240,1)))</f>
        <v>52776</v>
      </c>
      <c r="C241" s="230" t="n">
        <f aca="false">IF(ISERROR(A241),"",C240+IF($D$9="Monthly",1/12,1))</f>
        <v>78.7999999999992</v>
      </c>
      <c r="D241" s="231" t="n">
        <f aca="false">IF(L240&lt;&gt;1, IF(G240&lt;E240,0,D240),IF(L240=1,IFERROR(ROUND(IF($G240 - (E240 * 6) &lt; 0, D240, ($G240 - (E240 * 6)) * $D$8 / 12),2),0) ) )</f>
        <v>18.71</v>
      </c>
      <c r="E241" s="231" t="n">
        <f aca="false">IF(ISERROR(A241), 0,  MAX(0,   MIN(    ROUND(G240 + D241, 2),    ROUND(FV($S$5, IF(type=1, A241, A240), , IF(J241&lt;&gt;1, -$D$20, -$P$16 + P241), 2), 0)   )  ) )</f>
        <v>27</v>
      </c>
      <c r="F241" s="231" t="n">
        <f aca="false">IF(J241&lt;&gt;1, "", IF(J240&lt;&gt;0, F240, $K$12))</f>
        <v>1</v>
      </c>
      <c r="G241" s="232" t="n">
        <f aca="false">IF(ISERROR(A241),"",ROUND(G240-E241+D241,2))</f>
        <v>4596.57</v>
      </c>
      <c r="H241" s="237" t="n">
        <f aca="false">IF(G241&gt;0,IFERROR(H240+(H240*($D$16/12)),""),"")</f>
        <v>26.2370917777388</v>
      </c>
      <c r="I241" s="223" t="n">
        <f aca="false">IF(ISERROR(A242),"",12 - MONTH(B241))</f>
        <v>6</v>
      </c>
      <c r="J241" s="224" t="n">
        <f aca="false">K241</f>
        <v>1</v>
      </c>
      <c r="K241" s="225" t="n">
        <f aca="false">_xlfn.IFNA(IF(B241&gt;=$K$11, 1,0),0)</f>
        <v>1</v>
      </c>
      <c r="L241" s="60" t="str">
        <f aca="false">IF(I241=0,1,"")</f>
        <v/>
      </c>
      <c r="P241" s="4" t="n">
        <f aca="false">IF(AND(G241&gt;E241, A241&lt;&gt;0, V241&lt;&gt;0), $N$5 * ($P$22 ^ V241 - 1), 0)</f>
        <v>0</v>
      </c>
      <c r="V241" s="71" t="n">
        <f aca="false">IF(B241&lt;EDATE($K$11,12), 0,  DATEDIF(EDATE($K$11,12), B241 + 1, "y") + 1 )</f>
        <v>13</v>
      </c>
    </row>
    <row r="242" customFormat="false" ht="12.75" hidden="false" customHeight="true" outlineLevel="0" collapsed="false">
      <c r="A242" s="228" t="n">
        <f aca="false">IF(OR(G241="",G241&lt;=0,C241&gt;150),NA(),A241+1)</f>
        <v>214</v>
      </c>
      <c r="B242" s="229" t="n">
        <f aca="false">IF(ISERROR(A242),"",IF($D$9="Annually",EDATE(B241,12),EDATE(B241,1)))</f>
        <v>52806</v>
      </c>
      <c r="C242" s="230" t="n">
        <f aca="false">IF(ISERROR(A242),"",C241+IF($D$9="Monthly",1/12,1))</f>
        <v>78.8833333333326</v>
      </c>
      <c r="D242" s="231" t="n">
        <f aca="false">IF(L241&lt;&gt;1, IF(G241&lt;E241,0,D241),IF(L241=1,IFERROR(ROUND(IF($G241 - (E241 * 6) &lt; 0, D241, ($G241 - (E241 * 6)) * $D$8 / 12),2),0) ) )</f>
        <v>18.71</v>
      </c>
      <c r="E242" s="231" t="n">
        <f aca="false">IF(ISERROR(A242), 0,  MAX(0,   MIN(    ROUND(G241 + D242, 2),    ROUND(FV($S$5, IF(type=1, A242, A241), , IF(J242&lt;&gt;1, -$D$20, -$P$16 + P242), 2), 0)   )  ) )</f>
        <v>27</v>
      </c>
      <c r="F242" s="231" t="n">
        <f aca="false">IF(J242&lt;&gt;1, "", IF(J241&lt;&gt;0, F241, $K$12))</f>
        <v>1</v>
      </c>
      <c r="G242" s="232" t="n">
        <f aca="false">IF(ISERROR(A242),"",ROUND(G241-E242+D242,2))</f>
        <v>4588.28</v>
      </c>
      <c r="H242" s="237" t="n">
        <f aca="false">IF(G242&gt;0,IFERROR(H241+(H241*($D$16/12)),""),"")</f>
        <v>26.280820264035</v>
      </c>
      <c r="I242" s="223" t="n">
        <f aca="false">IF(ISERROR(A243),"",12 - MONTH(B242))</f>
        <v>5</v>
      </c>
      <c r="J242" s="224" t="n">
        <f aca="false">K242</f>
        <v>1</v>
      </c>
      <c r="K242" s="225" t="n">
        <f aca="false">_xlfn.IFNA(IF(B242&gt;=$K$11, 1,0),0)</f>
        <v>1</v>
      </c>
      <c r="L242" s="60" t="str">
        <f aca="false">IF(I242=0,1,"")</f>
        <v/>
      </c>
      <c r="P242" s="4" t="n">
        <f aca="false">IF(AND(G242&gt;E242, A242&lt;&gt;0, V242&lt;&gt;0), $N$5 * ($P$22 ^ V242 - 1), 0)</f>
        <v>0</v>
      </c>
      <c r="V242" s="71" t="n">
        <f aca="false">IF(B242&lt;EDATE($K$11,12), 0,  DATEDIF(EDATE($K$11,12), B242 + 1, "y") + 1 )</f>
        <v>13</v>
      </c>
    </row>
    <row r="243" customFormat="false" ht="12.75" hidden="false" customHeight="true" outlineLevel="0" collapsed="false">
      <c r="A243" s="228" t="n">
        <f aca="false">IF(OR(G242="",G242&lt;=0,C242&gt;150),NA(),A242+1)</f>
        <v>215</v>
      </c>
      <c r="B243" s="229" t="n">
        <f aca="false">IF(ISERROR(A243),"",IF($D$9="Annually",EDATE(B242,12),EDATE(B242,1)))</f>
        <v>52837</v>
      </c>
      <c r="C243" s="230" t="n">
        <f aca="false">IF(ISERROR(A243),"",C242+IF($D$9="Monthly",1/12,1))</f>
        <v>78.9666666666659</v>
      </c>
      <c r="D243" s="231" t="n">
        <f aca="false">IF(L242&lt;&gt;1, IF(G242&lt;E242,0,D242),IF(L242=1,IFERROR(ROUND(IF($G242 - (E242 * 6) &lt; 0, D242, ($G242 - (E242 * 6)) * $D$8 / 12),2),0) ) )</f>
        <v>18.71</v>
      </c>
      <c r="E243" s="231" t="n">
        <f aca="false">IF(ISERROR(A243), 0,  MAX(0,   MIN(    ROUND(G242 + D243, 2),    ROUND(FV($S$5, IF(type=1, A243, A242), , IF(J243&lt;&gt;1, -$D$20, -$P$16 + P243), 2), 0)   )  ) )</f>
        <v>27</v>
      </c>
      <c r="F243" s="231" t="n">
        <f aca="false">IF(J243&lt;&gt;1, "", IF(J242&lt;&gt;0, F242, $K$12))</f>
        <v>1</v>
      </c>
      <c r="G243" s="232" t="n">
        <f aca="false">IF(ISERROR(A243),"",ROUND(G242-E243+D243,2))</f>
        <v>4579.99</v>
      </c>
      <c r="H243" s="237" t="n">
        <f aca="false">IF(G243&gt;0,IFERROR(H242+(H242*($D$16/12)),""),"")</f>
        <v>26.3246216311418</v>
      </c>
      <c r="I243" s="223" t="n">
        <f aca="false">IF(ISERROR(A244),"",12 - MONTH(B243))</f>
        <v>4</v>
      </c>
      <c r="J243" s="224" t="n">
        <f aca="false">K243</f>
        <v>1</v>
      </c>
      <c r="K243" s="225" t="n">
        <f aca="false">_xlfn.IFNA(IF(B243&gt;=$K$11, 1,0),0)</f>
        <v>1</v>
      </c>
      <c r="L243" s="60" t="str">
        <f aca="false">IF(I243=0,1,"")</f>
        <v/>
      </c>
      <c r="P243" s="4" t="n">
        <f aca="false">IF(AND(G243&gt;E243, A243&lt;&gt;0, V243&lt;&gt;0), $N$5 * ($P$22 ^ V243 - 1), 0)</f>
        <v>0</v>
      </c>
      <c r="V243" s="71" t="n">
        <f aca="false">IF(B243&lt;EDATE($K$11,12), 0,  DATEDIF(EDATE($K$11,12), B243 + 1, "y") + 1 )</f>
        <v>13</v>
      </c>
    </row>
    <row r="244" customFormat="false" ht="12.75" hidden="false" customHeight="true" outlineLevel="0" collapsed="false">
      <c r="A244" s="228" t="n">
        <f aca="false">IF(OR(G243="",G243&lt;=0,C243&gt;150),NA(),A243+1)</f>
        <v>216</v>
      </c>
      <c r="B244" s="229" t="n">
        <f aca="false">IF(ISERROR(A244),"",IF($D$9="Annually",EDATE(B243,12),EDATE(B243,1)))</f>
        <v>52868</v>
      </c>
      <c r="C244" s="230" t="n">
        <f aca="false">IF(ISERROR(A244),"",C243+IF($D$9="Monthly",1/12,1))</f>
        <v>79.0499999999992</v>
      </c>
      <c r="D244" s="231" t="n">
        <f aca="false">IF(L243&lt;&gt;1, IF(G243&lt;E243,0,D243),IF(L243=1,IFERROR(ROUND(IF($G243 - (E243 * 6) &lt; 0, D243, ($G243 - (E243 * 6)) * $D$8 / 12),2),0) ) )</f>
        <v>18.71</v>
      </c>
      <c r="E244" s="231" t="n">
        <f aca="false">IF(ISERROR(A244), 0,  MAX(0,   MIN(    ROUND(G243 + D244, 2),    ROUND(FV($S$5, IF(type=1, A244, A243), , IF(J244&lt;&gt;1, -$D$20, -$P$16 + P244), 2), 0)   )  ) )</f>
        <v>27</v>
      </c>
      <c r="F244" s="231" t="n">
        <f aca="false">IF(J244&lt;&gt;1, "", IF(J243&lt;&gt;0, F243, $K$12))</f>
        <v>1</v>
      </c>
      <c r="G244" s="232" t="n">
        <f aca="false">IF(ISERROR(A244),"",ROUND(G243-E244+D244,2))</f>
        <v>4571.7</v>
      </c>
      <c r="H244" s="237" t="n">
        <f aca="false">IF(G244&gt;0,IFERROR(H243+(H243*($D$16/12)),""),"")</f>
        <v>26.368496000527</v>
      </c>
      <c r="I244" s="223" t="n">
        <f aca="false">IF(ISERROR(A245),"",12 - MONTH(B244))</f>
        <v>3</v>
      </c>
      <c r="J244" s="224" t="n">
        <f aca="false">K244</f>
        <v>1</v>
      </c>
      <c r="K244" s="225" t="n">
        <f aca="false">_xlfn.IFNA(IF(B244&gt;=$K$11, 1,0),0)</f>
        <v>1</v>
      </c>
      <c r="L244" s="60" t="str">
        <f aca="false">IF(I244=0,1,"")</f>
        <v/>
      </c>
      <c r="P244" s="4" t="n">
        <f aca="false">IF(AND(G244&gt;E244, A244&lt;&gt;0, V244&lt;&gt;0), $N$5 * ($P$22 ^ V244 - 1), 0)</f>
        <v>0</v>
      </c>
      <c r="V244" s="71" t="n">
        <f aca="false">IF(B244&lt;EDATE($K$11,12), 0,  DATEDIF(EDATE($K$11,12), B244 + 1, "y") + 1 )</f>
        <v>13</v>
      </c>
    </row>
    <row r="245" customFormat="false" ht="12.75" hidden="false" customHeight="true" outlineLevel="0" collapsed="false">
      <c r="A245" s="228" t="n">
        <f aca="false">IF(OR(G244="",G244&lt;=0,C244&gt;150),NA(),A244+1)</f>
        <v>217</v>
      </c>
      <c r="B245" s="229" t="n">
        <f aca="false">IF(ISERROR(A245),"",IF($D$9="Annually",EDATE(B244,12),EDATE(B244,1)))</f>
        <v>52898</v>
      </c>
      <c r="C245" s="230" t="n">
        <f aca="false">IF(ISERROR(A245),"",C244+IF($D$9="Monthly",1/12,1))</f>
        <v>79.1333333333326</v>
      </c>
      <c r="D245" s="231" t="n">
        <f aca="false">IF(L244&lt;&gt;1, IF(G244&lt;E244,0,D244),IF(L244=1,IFERROR(ROUND(IF($G244 - (E244 * 6) &lt; 0, D244, ($G244 - (E244 * 6)) * $D$8 / 12),2),0) ) )</f>
        <v>18.71</v>
      </c>
      <c r="E245" s="231" t="n">
        <f aca="false">IF(ISERROR(A245), 0,  MAX(0,   MIN(    ROUND(G244 + D245, 2),    ROUND(FV($S$5, IF(type=1, A245, A244), , IF(J245&lt;&gt;1, -$D$20, -$P$16 + P245), 2), 0)   )  ) )</f>
        <v>27</v>
      </c>
      <c r="F245" s="231" t="n">
        <f aca="false">IF(J245&lt;&gt;1, "", IF(J244&lt;&gt;0, F244, $K$12))</f>
        <v>1</v>
      </c>
      <c r="G245" s="232" t="n">
        <f aca="false">IF(ISERROR(A245),"",ROUND(G244-E245+D245,2))</f>
        <v>4563.41</v>
      </c>
      <c r="H245" s="237" t="n">
        <f aca="false">IF(G245&gt;0,IFERROR(H244+(H244*($D$16/12)),""),"")</f>
        <v>26.4124434938612</v>
      </c>
      <c r="I245" s="223" t="n">
        <f aca="false">IF(ISERROR(A246),"",12 - MONTH(B245))</f>
        <v>2</v>
      </c>
      <c r="J245" s="224" t="n">
        <f aca="false">K245</f>
        <v>1</v>
      </c>
      <c r="K245" s="225" t="n">
        <f aca="false">_xlfn.IFNA(IF(B245&gt;=$K$11, 1,0),0)</f>
        <v>1</v>
      </c>
      <c r="L245" s="60" t="str">
        <f aca="false">IF(I245=0,1,"")</f>
        <v/>
      </c>
      <c r="P245" s="4" t="n">
        <f aca="false">IF(AND(G245&gt;E245, A245&lt;&gt;0, V245&lt;&gt;0), $N$5 * ($P$22 ^ V245 - 1), 0)</f>
        <v>0</v>
      </c>
      <c r="V245" s="71" t="n">
        <f aca="false">IF(B245&lt;EDATE($K$11,12), 0,  DATEDIF(EDATE($K$11,12), B245 + 1, "y") + 1 )</f>
        <v>13</v>
      </c>
    </row>
    <row r="246" customFormat="false" ht="12.75" hidden="false" customHeight="true" outlineLevel="0" collapsed="false">
      <c r="A246" s="228" t="n">
        <f aca="false">IF(OR(G245="",G245&lt;=0,C245&gt;150),NA(),A245+1)</f>
        <v>218</v>
      </c>
      <c r="B246" s="229" t="n">
        <f aca="false">IF(ISERROR(A246),"",IF($D$9="Annually",EDATE(B245,12),EDATE(B245,1)))</f>
        <v>52929</v>
      </c>
      <c r="C246" s="230" t="n">
        <f aca="false">IF(ISERROR(A246),"",C245+IF($D$9="Monthly",1/12,1))</f>
        <v>79.2166666666659</v>
      </c>
      <c r="D246" s="231" t="n">
        <f aca="false">IF(L245&lt;&gt;1, IF(G245&lt;E245,0,D245),IF(L245=1,IFERROR(ROUND(IF($G245 - (E245 * 6) &lt; 0, D245, ($G245 - (E245 * 6)) * $D$8 / 12),2),0) ) )</f>
        <v>18.71</v>
      </c>
      <c r="E246" s="231" t="n">
        <f aca="false">IF(ISERROR(A246), 0,  MAX(0,   MIN(    ROUND(G245 + D246, 2),    ROUND(FV($S$5, IF(type=1, A246, A245), , IF(J246&lt;&gt;1, -$D$20, -$P$16 + P246), 2), 0)   )  ) )</f>
        <v>27</v>
      </c>
      <c r="F246" s="231" t="n">
        <f aca="false">IF(J246&lt;&gt;1, "", IF(J245&lt;&gt;0, F245, $K$12))</f>
        <v>1</v>
      </c>
      <c r="G246" s="232" t="n">
        <f aca="false">IF(ISERROR(A246),"",ROUND(G245-E246+D246,2))</f>
        <v>4555.12</v>
      </c>
      <c r="H246" s="237" t="n">
        <f aca="false">IF(G246&gt;0,IFERROR(H245+(H245*($D$16/12)),""),"")</f>
        <v>26.4564642330176</v>
      </c>
      <c r="I246" s="223" t="n">
        <f aca="false">IF(ISERROR(A247),"",12 - MONTH(B246))</f>
        <v>1</v>
      </c>
      <c r="J246" s="224" t="n">
        <f aca="false">K246</f>
        <v>1</v>
      </c>
      <c r="K246" s="225" t="n">
        <f aca="false">_xlfn.IFNA(IF(B246&gt;=$K$11, 1,0),0)</f>
        <v>1</v>
      </c>
      <c r="L246" s="60" t="str">
        <f aca="false">IF(I246=0,1,"")</f>
        <v/>
      </c>
      <c r="P246" s="4" t="n">
        <f aca="false">IF(AND(G246&gt;E246, A246&lt;&gt;0, V246&lt;&gt;0), $N$5 * ($P$22 ^ V246 - 1), 0)</f>
        <v>0</v>
      </c>
      <c r="V246" s="71" t="n">
        <f aca="false">IF(B246&lt;EDATE($K$11,12), 0,  DATEDIF(EDATE($K$11,12), B246 + 1, "y") + 1 )</f>
        <v>13</v>
      </c>
    </row>
    <row r="247" customFormat="false" ht="12.75" hidden="false" customHeight="true" outlineLevel="0" collapsed="false">
      <c r="A247" s="228" t="n">
        <f aca="false">IF(OR(G246="",G246&lt;=0,C246&gt;150),NA(),A246+1)</f>
        <v>219</v>
      </c>
      <c r="B247" s="229" t="n">
        <f aca="false">IF(ISERROR(A247),"",IF($D$9="Annually",EDATE(B246,12),EDATE(B246,1)))</f>
        <v>52959</v>
      </c>
      <c r="C247" s="230" t="n">
        <f aca="false">IF(ISERROR(A247),"",C246+IF($D$9="Monthly",1/12,1))</f>
        <v>79.2999999999992</v>
      </c>
      <c r="D247" s="231" t="n">
        <f aca="false">IF(L246&lt;&gt;1, IF(G246&lt;E246,0,D246),IF(L246=1,IFERROR(ROUND(IF($G246 - (E246 * 6) &lt; 0, D246, ($G246 - (E246 * 6)) * $D$8 / 12),2),0) ) )</f>
        <v>18.71</v>
      </c>
      <c r="E247" s="231" t="n">
        <f aca="false">IF(ISERROR(A247), 0,  MAX(0,   MIN(    ROUND(G246 + D247, 2),    ROUND(FV($S$5, IF(type=1, A247, A246), , IF(J247&lt;&gt;1, -$D$20, -$P$16 + P247), 2), 0)   )  ) )</f>
        <v>27</v>
      </c>
      <c r="F247" s="231" t="n">
        <f aca="false">IF(J247&lt;&gt;1, "", IF(J246&lt;&gt;0, F246, $K$12))</f>
        <v>1</v>
      </c>
      <c r="G247" s="232" t="n">
        <f aca="false">IF(ISERROR(A247),"",ROUND(G246-E247+D247,2))</f>
        <v>4546.83</v>
      </c>
      <c r="H247" s="237" t="n">
        <f aca="false">IF(G247&gt;0,IFERROR(H246+(H246*($D$16/12)),""),"")</f>
        <v>26.5005583400727</v>
      </c>
      <c r="I247" s="223" t="n">
        <f aca="false">IF(ISERROR(A248),"",12 - MONTH(B247))</f>
        <v>0</v>
      </c>
      <c r="J247" s="224" t="n">
        <f aca="false">K247</f>
        <v>1</v>
      </c>
      <c r="K247" s="225" t="n">
        <f aca="false">_xlfn.IFNA(IF(B247&gt;=$K$11, 1,0),0)</f>
        <v>1</v>
      </c>
      <c r="L247" s="60" t="n">
        <f aca="false">IF(I247=0,1,"")</f>
        <v>1</v>
      </c>
      <c r="P247" s="4" t="n">
        <f aca="false">IF(AND(G247&gt;E247, A247&lt;&gt;0, V247&lt;&gt;0), $N$5 * ($P$22 ^ V247 - 1), 0)</f>
        <v>0</v>
      </c>
      <c r="V247" s="71" t="n">
        <f aca="false">IF(B247&lt;EDATE($K$11,12), 0,  DATEDIF(EDATE($K$11,12), B247 + 1, "y") + 1 )</f>
        <v>13</v>
      </c>
    </row>
    <row r="248" customFormat="false" ht="12.75" hidden="false" customHeight="true" outlineLevel="0" collapsed="false">
      <c r="A248" s="228" t="n">
        <f aca="false">IF(OR(G247="",G247&lt;=0,C247&gt;150),NA(),A247+1)</f>
        <v>220</v>
      </c>
      <c r="B248" s="229" t="n">
        <f aca="false">IF(ISERROR(A248),"",IF($D$9="Annually",EDATE(B247,12),EDATE(B247,1)))</f>
        <v>52990</v>
      </c>
      <c r="C248" s="230" t="n">
        <f aca="false">IF(ISERROR(A248),"",C247+IF($D$9="Monthly",1/12,1))</f>
        <v>79.3833333333325</v>
      </c>
      <c r="D248" s="231" t="n">
        <f aca="false">IF(L247&lt;&gt;1, IF(G247&lt;E247,0,D247),IF(L247=1,IFERROR(ROUND(IF($G247 - (E247 * 6) &lt; 0, D247, ($G247 - (E247 * 6)) * $D$8 / 12),2),0) ) )</f>
        <v>18.27</v>
      </c>
      <c r="E248" s="231" t="n">
        <f aca="false">IF(ISERROR(A248), 0,  MAX(0,   MIN(    ROUND(G247 + D248, 2),    ROUND(FV($S$5, IF(type=1, A248, A247), , IF(J248&lt;&gt;1, -$D$20, -$P$16 + P248), 2), 0)   )  ) )</f>
        <v>27</v>
      </c>
      <c r="F248" s="231" t="n">
        <f aca="false">IF(J248&lt;&gt;1, "", IF(J247&lt;&gt;0, F247, $K$12))</f>
        <v>1</v>
      </c>
      <c r="G248" s="232" t="n">
        <f aca="false">IF(ISERROR(A248),"",ROUND(G247-E248+D248,2))</f>
        <v>4538.1</v>
      </c>
      <c r="H248" s="237" t="n">
        <f aca="false">IF(G248&gt;0,IFERROR(H247+(H247*($D$16/12)),""),"")</f>
        <v>26.5447259373061</v>
      </c>
      <c r="I248" s="223" t="n">
        <f aca="false">IF(ISERROR(A249),"",12 - MONTH(B248))</f>
        <v>11</v>
      </c>
      <c r="J248" s="224" t="n">
        <f aca="false">K248</f>
        <v>1</v>
      </c>
      <c r="K248" s="225" t="n">
        <f aca="false">_xlfn.IFNA(IF(B248&gt;=$K$11, 1,0),0)</f>
        <v>1</v>
      </c>
      <c r="L248" s="60" t="str">
        <f aca="false">IF(I248=0,1,"")</f>
        <v/>
      </c>
      <c r="P248" s="4" t="n">
        <f aca="false">IF(AND(G248&gt;E248, A248&lt;&gt;0, V248&lt;&gt;0), $N$5 * ($P$22 ^ V248 - 1), 0)</f>
        <v>0</v>
      </c>
      <c r="V248" s="71" t="n">
        <f aca="false">IF(B248&lt;EDATE($K$11,12), 0,  DATEDIF(EDATE($K$11,12), B248 + 1, "y") + 1 )</f>
        <v>14</v>
      </c>
    </row>
    <row r="249" customFormat="false" ht="12.75" hidden="false" customHeight="true" outlineLevel="0" collapsed="false">
      <c r="A249" s="228" t="n">
        <f aca="false">IF(OR(G248="",G248&lt;=0,C248&gt;150),NA(),A248+1)</f>
        <v>221</v>
      </c>
      <c r="B249" s="229" t="n">
        <f aca="false">IF(ISERROR(A249),"",IF($D$9="Annually",EDATE(B248,12),EDATE(B248,1)))</f>
        <v>53021</v>
      </c>
      <c r="C249" s="230" t="n">
        <f aca="false">IF(ISERROR(A249),"",C248+IF($D$9="Monthly",1/12,1))</f>
        <v>79.4666666666659</v>
      </c>
      <c r="D249" s="231" t="n">
        <f aca="false">IF(L248&lt;&gt;1, IF(G248&lt;E248,0,D248),IF(L248=1,IFERROR(ROUND(IF($G248 - (E248 * 6) &lt; 0, D248, ($G248 - (E248 * 6)) * $D$8 / 12),2),0) ) )</f>
        <v>18.27</v>
      </c>
      <c r="E249" s="231" t="n">
        <f aca="false">IF(ISERROR(A249), 0,  MAX(0,   MIN(    ROUND(G248 + D249, 2),    ROUND(FV($S$5, IF(type=1, A249, A248), , IF(J249&lt;&gt;1, -$D$20, -$P$16 + P249), 2), 0)   )  ) )</f>
        <v>27</v>
      </c>
      <c r="F249" s="231" t="n">
        <f aca="false">IF(J249&lt;&gt;1, "", IF(J248&lt;&gt;0, F248, $K$12))</f>
        <v>1</v>
      </c>
      <c r="G249" s="232" t="n">
        <f aca="false">IF(ISERROR(A249),"",ROUND(G248-E249+D249,2))</f>
        <v>4529.37</v>
      </c>
      <c r="H249" s="237" t="n">
        <f aca="false">IF(G249&gt;0,IFERROR(H248+(H248*($D$16/12)),""),"")</f>
        <v>26.5889671472016</v>
      </c>
      <c r="I249" s="223" t="n">
        <f aca="false">IF(ISERROR(A250),"",12 - MONTH(B249))</f>
        <v>10</v>
      </c>
      <c r="J249" s="224" t="n">
        <f aca="false">K249</f>
        <v>1</v>
      </c>
      <c r="K249" s="225" t="n">
        <f aca="false">_xlfn.IFNA(IF(B249&gt;=$K$11, 1,0),0)</f>
        <v>1</v>
      </c>
      <c r="L249" s="60" t="str">
        <f aca="false">IF(I249=0,1,"")</f>
        <v/>
      </c>
      <c r="P249" s="4" t="n">
        <f aca="false">IF(AND(G249&gt;E249, A249&lt;&gt;0, V249&lt;&gt;0), $N$5 * ($P$22 ^ V249 - 1), 0)</f>
        <v>0</v>
      </c>
      <c r="V249" s="71" t="n">
        <f aca="false">IF(B249&lt;EDATE($K$11,12), 0,  DATEDIF(EDATE($K$11,12), B249 + 1, "y") + 1 )</f>
        <v>14</v>
      </c>
    </row>
    <row r="250" customFormat="false" ht="12.75" hidden="false" customHeight="true" outlineLevel="0" collapsed="false">
      <c r="A250" s="228" t="n">
        <f aca="false">IF(OR(G249="",G249&lt;=0,C249&gt;150),NA(),A249+1)</f>
        <v>222</v>
      </c>
      <c r="B250" s="229" t="n">
        <f aca="false">IF(ISERROR(A250),"",IF($D$9="Annually",EDATE(B249,12),EDATE(B249,1)))</f>
        <v>53049</v>
      </c>
      <c r="C250" s="230" t="n">
        <f aca="false">IF(ISERROR(A250),"",C249+IF($D$9="Monthly",1/12,1))</f>
        <v>79.5499999999992</v>
      </c>
      <c r="D250" s="231" t="n">
        <f aca="false">IF(L249&lt;&gt;1, IF(G249&lt;E249,0,D249),IF(L249=1,IFERROR(ROUND(IF($G249 - (E249 * 6) &lt; 0, D249, ($G249 - (E249 * 6)) * $D$8 / 12),2),0) ) )</f>
        <v>18.27</v>
      </c>
      <c r="E250" s="231" t="n">
        <f aca="false">IF(ISERROR(A250), 0,  MAX(0,   MIN(    ROUND(G249 + D250, 2),    ROUND(FV($S$5, IF(type=1, A250, A249), , IF(J250&lt;&gt;1, -$D$20, -$P$16 + P250), 2), 0)   )  ) )</f>
        <v>27</v>
      </c>
      <c r="F250" s="231" t="n">
        <f aca="false">IF(J250&lt;&gt;1, "", IF(J249&lt;&gt;0, F249, $K$12))</f>
        <v>1</v>
      </c>
      <c r="G250" s="232" t="n">
        <f aca="false">IF(ISERROR(A250),"",ROUND(G249-E250+D250,2))</f>
        <v>4520.64</v>
      </c>
      <c r="H250" s="237" t="n">
        <f aca="false">IF(G250&gt;0,IFERROR(H249+(H249*($D$16/12)),""),"")</f>
        <v>26.633282092447</v>
      </c>
      <c r="I250" s="223" t="n">
        <f aca="false">IF(ISERROR(A251),"",12 - MONTH(B250))</f>
        <v>9</v>
      </c>
      <c r="J250" s="224" t="n">
        <f aca="false">K250</f>
        <v>1</v>
      </c>
      <c r="K250" s="225" t="n">
        <f aca="false">_xlfn.IFNA(IF(B250&gt;=$K$11, 1,0),0)</f>
        <v>1</v>
      </c>
      <c r="L250" s="60" t="str">
        <f aca="false">IF(I250=0,1,"")</f>
        <v/>
      </c>
      <c r="P250" s="4" t="n">
        <f aca="false">IF(AND(G250&gt;E250, A250&lt;&gt;0, V250&lt;&gt;0), $N$5 * ($P$22 ^ V250 - 1), 0)</f>
        <v>0</v>
      </c>
      <c r="V250" s="71" t="n">
        <f aca="false">IF(B250&lt;EDATE($K$11,12), 0,  DATEDIF(EDATE($K$11,12), B250 + 1, "y") + 1 )</f>
        <v>14</v>
      </c>
    </row>
    <row r="251" customFormat="false" ht="12.75" hidden="false" customHeight="true" outlineLevel="0" collapsed="false">
      <c r="A251" s="228" t="n">
        <f aca="false">IF(OR(G250="",G250&lt;=0,C250&gt;150),NA(),A250+1)</f>
        <v>223</v>
      </c>
      <c r="B251" s="229" t="n">
        <f aca="false">IF(ISERROR(A251),"",IF($D$9="Annually",EDATE(B250,12),EDATE(B250,1)))</f>
        <v>53080</v>
      </c>
      <c r="C251" s="230" t="n">
        <f aca="false">IF(ISERROR(A251),"",C250+IF($D$9="Monthly",1/12,1))</f>
        <v>79.6333333333325</v>
      </c>
      <c r="D251" s="231" t="n">
        <f aca="false">IF(L250&lt;&gt;1, IF(G250&lt;E250,0,D250),IF(L250=1,IFERROR(ROUND(IF($G250 - (E250 * 6) &lt; 0, D250, ($G250 - (E250 * 6)) * $D$8 / 12),2),0) ) )</f>
        <v>18.27</v>
      </c>
      <c r="E251" s="231" t="n">
        <f aca="false">IF(ISERROR(A251), 0,  MAX(0,   MIN(    ROUND(G250 + D251, 2),    ROUND(FV($S$5, IF(type=1, A251, A250), , IF(J251&lt;&gt;1, -$D$20, -$P$16 + P251), 2), 0)   )  ) )</f>
        <v>27</v>
      </c>
      <c r="F251" s="231" t="n">
        <f aca="false">IF(J251&lt;&gt;1, "", IF(J250&lt;&gt;0, F250, $K$12))</f>
        <v>1</v>
      </c>
      <c r="G251" s="232" t="n">
        <f aca="false">IF(ISERROR(A251),"",ROUND(G250-E251+D251,2))</f>
        <v>4511.91</v>
      </c>
      <c r="H251" s="237" t="n">
        <f aca="false">IF(G251&gt;0,IFERROR(H250+(H250*($D$16/12)),""),"")</f>
        <v>26.6776708959344</v>
      </c>
      <c r="I251" s="223" t="n">
        <f aca="false">IF(ISERROR(A252),"",12 - MONTH(B251))</f>
        <v>8</v>
      </c>
      <c r="J251" s="224" t="n">
        <f aca="false">K251</f>
        <v>1</v>
      </c>
      <c r="K251" s="225" t="n">
        <f aca="false">_xlfn.IFNA(IF(B251&gt;=$K$11, 1,0),0)</f>
        <v>1</v>
      </c>
      <c r="L251" s="60" t="str">
        <f aca="false">IF(I251=0,1,"")</f>
        <v/>
      </c>
      <c r="P251" s="4" t="n">
        <f aca="false">IF(AND(G251&gt;E251, A251&lt;&gt;0, V251&lt;&gt;0), $N$5 * ($P$22 ^ V251 - 1), 0)</f>
        <v>0</v>
      </c>
      <c r="V251" s="71" t="n">
        <f aca="false">IF(B251&lt;EDATE($K$11,12), 0,  DATEDIF(EDATE($K$11,12), B251 + 1, "y") + 1 )</f>
        <v>14</v>
      </c>
    </row>
    <row r="252" customFormat="false" ht="12.75" hidden="false" customHeight="true" outlineLevel="0" collapsed="false">
      <c r="A252" s="228" t="n">
        <f aca="false">IF(OR(G251="",G251&lt;=0,C251&gt;150),NA(),A251+1)</f>
        <v>224</v>
      </c>
      <c r="B252" s="229" t="n">
        <f aca="false">IF(ISERROR(A252),"",IF($D$9="Annually",EDATE(B251,12),EDATE(B251,1)))</f>
        <v>53110</v>
      </c>
      <c r="C252" s="230" t="n">
        <f aca="false">IF(ISERROR(A252),"",C251+IF($D$9="Monthly",1/12,1))</f>
        <v>79.7166666666659</v>
      </c>
      <c r="D252" s="231" t="n">
        <f aca="false">IF(L251&lt;&gt;1, IF(G251&lt;E251,0,D251),IF(L251=1,IFERROR(ROUND(IF($G251 - (E251 * 6) &lt; 0, D251, ($G251 - (E251 * 6)) * $D$8 / 12),2),0) ) )</f>
        <v>18.27</v>
      </c>
      <c r="E252" s="231" t="n">
        <f aca="false">IF(ISERROR(A252), 0,  MAX(0,   MIN(    ROUND(G251 + D252, 2),    ROUND(FV($S$5, IF(type=1, A252, A251), , IF(J252&lt;&gt;1, -$D$20, -$P$16 + P252), 2), 0)   )  ) )</f>
        <v>27</v>
      </c>
      <c r="F252" s="231" t="n">
        <f aca="false">IF(J252&lt;&gt;1, "", IF(J251&lt;&gt;0, F251, $K$12))</f>
        <v>1</v>
      </c>
      <c r="G252" s="232" t="n">
        <f aca="false">IF(ISERROR(A252),"",ROUND(G251-E252+D252,2))</f>
        <v>4503.18</v>
      </c>
      <c r="H252" s="237" t="n">
        <f aca="false">IF(G252&gt;0,IFERROR(H251+(H251*($D$16/12)),""),"")</f>
        <v>26.7221336807609</v>
      </c>
      <c r="I252" s="223" t="n">
        <f aca="false">IF(ISERROR(A253),"",12 - MONTH(B252))</f>
        <v>7</v>
      </c>
      <c r="J252" s="224" t="n">
        <f aca="false">K252</f>
        <v>1</v>
      </c>
      <c r="K252" s="225" t="n">
        <f aca="false">_xlfn.IFNA(IF(B252&gt;=$K$11, 1,0),0)</f>
        <v>1</v>
      </c>
      <c r="L252" s="60" t="str">
        <f aca="false">IF(I252=0,1,"")</f>
        <v/>
      </c>
      <c r="P252" s="4" t="n">
        <f aca="false">IF(AND(G252&gt;E252, A252&lt;&gt;0, V252&lt;&gt;0), $N$5 * ($P$22 ^ V252 - 1), 0)</f>
        <v>0</v>
      </c>
      <c r="V252" s="71" t="n">
        <f aca="false">IF(B252&lt;EDATE($K$11,12), 0,  DATEDIF(EDATE($K$11,12), B252 + 1, "y") + 1 )</f>
        <v>14</v>
      </c>
    </row>
    <row r="253" customFormat="false" ht="12.75" hidden="false" customHeight="true" outlineLevel="0" collapsed="false">
      <c r="A253" s="228" t="n">
        <f aca="false">IF(OR(G252="",G252&lt;=0,C252&gt;150),NA(),A252+1)</f>
        <v>225</v>
      </c>
      <c r="B253" s="229" t="n">
        <f aca="false">IF(ISERROR(A253),"",IF($D$9="Annually",EDATE(B252,12),EDATE(B252,1)))</f>
        <v>53141</v>
      </c>
      <c r="C253" s="230" t="n">
        <f aca="false">IF(ISERROR(A253),"",C252+IF($D$9="Monthly",1/12,1))</f>
        <v>79.7999999999992</v>
      </c>
      <c r="D253" s="231" t="n">
        <f aca="false">IF(L252&lt;&gt;1, IF(G252&lt;E252,0,D252),IF(L252=1,IFERROR(ROUND(IF($G252 - (E252 * 6) &lt; 0, D252, ($G252 - (E252 * 6)) * $D$8 / 12),2),0) ) )</f>
        <v>18.27</v>
      </c>
      <c r="E253" s="231" t="n">
        <f aca="false">IF(ISERROR(A253), 0,  MAX(0,   MIN(    ROUND(G252 + D253, 2),    ROUND(FV($S$5, IF(type=1, A253, A252), , IF(J253&lt;&gt;1, -$D$20, -$P$16 + P253), 2), 0)   )  ) )</f>
        <v>27</v>
      </c>
      <c r="F253" s="231" t="n">
        <f aca="false">IF(J253&lt;&gt;1, "", IF(J252&lt;&gt;0, F252, $K$12))</f>
        <v>1</v>
      </c>
      <c r="G253" s="232" t="n">
        <f aca="false">IF(ISERROR(A253),"",ROUND(G252-E253+D253,2))</f>
        <v>4494.45</v>
      </c>
      <c r="H253" s="237" t="n">
        <f aca="false">IF(G253&gt;0,IFERROR(H252+(H252*($D$16/12)),""),"")</f>
        <v>26.7666705702289</v>
      </c>
      <c r="I253" s="223" t="n">
        <f aca="false">IF(ISERROR(A254),"",12 - MONTH(B253))</f>
        <v>6</v>
      </c>
      <c r="J253" s="224" t="n">
        <f aca="false">K253</f>
        <v>1</v>
      </c>
      <c r="K253" s="225" t="n">
        <f aca="false">_xlfn.IFNA(IF(B253&gt;=$K$11, 1,0),0)</f>
        <v>1</v>
      </c>
      <c r="L253" s="60" t="str">
        <f aca="false">IF(I253=0,1,"")</f>
        <v/>
      </c>
      <c r="P253" s="4" t="n">
        <f aca="false">IF(AND(G253&gt;E253, A253&lt;&gt;0, V253&lt;&gt;0), $N$5 * ($P$22 ^ V253 - 1), 0)</f>
        <v>0</v>
      </c>
      <c r="V253" s="71" t="n">
        <f aca="false">IF(B253&lt;EDATE($K$11,12), 0,  DATEDIF(EDATE($K$11,12), B253 + 1, "y") + 1 )</f>
        <v>14</v>
      </c>
    </row>
    <row r="254" customFormat="false" ht="12.75" hidden="false" customHeight="true" outlineLevel="0" collapsed="false">
      <c r="A254" s="228" t="n">
        <f aca="false">IF(OR(G253="",G253&lt;=0,C253&gt;150),NA(),A253+1)</f>
        <v>226</v>
      </c>
      <c r="B254" s="229" t="n">
        <f aca="false">IF(ISERROR(A254),"",IF($D$9="Annually",EDATE(B253,12),EDATE(B253,1)))</f>
        <v>53171</v>
      </c>
      <c r="C254" s="230" t="n">
        <f aca="false">IF(ISERROR(A254),"",C253+IF($D$9="Monthly",1/12,1))</f>
        <v>79.8833333333325</v>
      </c>
      <c r="D254" s="231" t="n">
        <f aca="false">IF(L253&lt;&gt;1, IF(G253&lt;E253,0,D253),IF(L253=1,IFERROR(ROUND(IF($G253 - (E253 * 6) &lt; 0, D253, ($G253 - (E253 * 6)) * $D$8 / 12),2),0) ) )</f>
        <v>18.27</v>
      </c>
      <c r="E254" s="231" t="n">
        <f aca="false">IF(ISERROR(A254), 0,  MAX(0,   MIN(    ROUND(G253 + D254, 2),    ROUND(FV($S$5, IF(type=1, A254, A253), , IF(J254&lt;&gt;1, -$D$20, -$P$16 + P254), 2), 0)   )  ) )</f>
        <v>27</v>
      </c>
      <c r="F254" s="231" t="n">
        <f aca="false">IF(J254&lt;&gt;1, "", IF(J253&lt;&gt;0, F253, $K$12))</f>
        <v>1</v>
      </c>
      <c r="G254" s="232" t="n">
        <f aca="false">IF(ISERROR(A254),"",ROUND(G253-E254+D254,2))</f>
        <v>4485.72</v>
      </c>
      <c r="H254" s="237" t="n">
        <f aca="false">IF(G254&gt;0,IFERROR(H253+(H253*($D$16/12)),""),"")</f>
        <v>26.8112816878459</v>
      </c>
      <c r="I254" s="223" t="n">
        <f aca="false">IF(ISERROR(A255),"",12 - MONTH(B254))</f>
        <v>5</v>
      </c>
      <c r="J254" s="224" t="n">
        <f aca="false">K254</f>
        <v>1</v>
      </c>
      <c r="K254" s="225" t="n">
        <f aca="false">_xlfn.IFNA(IF(B254&gt;=$K$11, 1,0),0)</f>
        <v>1</v>
      </c>
      <c r="L254" s="60" t="str">
        <f aca="false">IF(I254=0,1,"")</f>
        <v/>
      </c>
      <c r="P254" s="4" t="n">
        <f aca="false">IF(AND(G254&gt;E254, A254&lt;&gt;0, V254&lt;&gt;0), $N$5 * ($P$22 ^ V254 - 1), 0)</f>
        <v>0</v>
      </c>
      <c r="V254" s="71" t="n">
        <f aca="false">IF(B254&lt;EDATE($K$11,12), 0,  DATEDIF(EDATE($K$11,12), B254 + 1, "y") + 1 )</f>
        <v>14</v>
      </c>
    </row>
    <row r="255" customFormat="false" ht="12.75" hidden="false" customHeight="true" outlineLevel="0" collapsed="false">
      <c r="A255" s="228" t="n">
        <f aca="false">IF(OR(G254="",G254&lt;=0,C254&gt;150),NA(),A254+1)</f>
        <v>227</v>
      </c>
      <c r="B255" s="229" t="n">
        <f aca="false">IF(ISERROR(A255),"",IF($D$9="Annually",EDATE(B254,12),EDATE(B254,1)))</f>
        <v>53202</v>
      </c>
      <c r="C255" s="230" t="n">
        <f aca="false">IF(ISERROR(A255),"",C254+IF($D$9="Monthly",1/12,1))</f>
        <v>79.9666666666658</v>
      </c>
      <c r="D255" s="231" t="n">
        <f aca="false">IF(L254&lt;&gt;1, IF(G254&lt;E254,0,D254),IF(L254=1,IFERROR(ROUND(IF($G254 - (E254 * 6) &lt; 0, D254, ($G254 - (E254 * 6)) * $D$8 / 12),2),0) ) )</f>
        <v>18.27</v>
      </c>
      <c r="E255" s="231" t="n">
        <f aca="false">IF(ISERROR(A255), 0,  MAX(0,   MIN(    ROUND(G254 + D255, 2),    ROUND(FV($S$5, IF(type=1, A255, A254), , IF(J255&lt;&gt;1, -$D$20, -$P$16 + P255), 2), 0)   )  ) )</f>
        <v>27</v>
      </c>
      <c r="F255" s="231" t="n">
        <f aca="false">IF(J255&lt;&gt;1, "", IF(J254&lt;&gt;0, F254, $K$12))</f>
        <v>1</v>
      </c>
      <c r="G255" s="232" t="n">
        <f aca="false">IF(ISERROR(A255),"",ROUND(G254-E255+D255,2))</f>
        <v>4476.99</v>
      </c>
      <c r="H255" s="237" t="n">
        <f aca="false">IF(G255&gt;0,IFERROR(H254+(H254*($D$16/12)),""),"")</f>
        <v>26.8559671573257</v>
      </c>
      <c r="I255" s="223" t="n">
        <f aca="false">IF(ISERROR(A256),"",12 - MONTH(B255))</f>
        <v>4</v>
      </c>
      <c r="J255" s="224" t="n">
        <f aca="false">K255</f>
        <v>1</v>
      </c>
      <c r="K255" s="225" t="n">
        <f aca="false">_xlfn.IFNA(IF(B255&gt;=$K$11, 1,0),0)</f>
        <v>1</v>
      </c>
      <c r="L255" s="60" t="str">
        <f aca="false">IF(I255=0,1,"")</f>
        <v/>
      </c>
      <c r="P255" s="4" t="n">
        <f aca="false">IF(AND(G255&gt;E255, A255&lt;&gt;0, V255&lt;&gt;0), $N$5 * ($P$22 ^ V255 - 1), 0)</f>
        <v>0</v>
      </c>
      <c r="V255" s="71" t="n">
        <f aca="false">IF(B255&lt;EDATE($K$11,12), 0,  DATEDIF(EDATE($K$11,12), B255 + 1, "y") + 1 )</f>
        <v>14</v>
      </c>
    </row>
    <row r="256" customFormat="false" ht="12.75" hidden="false" customHeight="true" outlineLevel="0" collapsed="false">
      <c r="A256" s="228" t="n">
        <f aca="false">IF(OR(G255="",G255&lt;=0,C255&gt;150),NA(),A255+1)</f>
        <v>228</v>
      </c>
      <c r="B256" s="229" t="n">
        <f aca="false">IF(ISERROR(A256),"",IF($D$9="Annually",EDATE(B255,12),EDATE(B255,1)))</f>
        <v>53233</v>
      </c>
      <c r="C256" s="230" t="n">
        <f aca="false">IF(ISERROR(A256),"",C255+IF($D$9="Monthly",1/12,1))</f>
        <v>80.0499999999992</v>
      </c>
      <c r="D256" s="231" t="n">
        <f aca="false">IF(L255&lt;&gt;1, IF(G255&lt;E255,0,D255),IF(L255=1,IFERROR(ROUND(IF($G255 - (E255 * 6) &lt; 0, D255, ($G255 - (E255 * 6)) * $D$8 / 12),2),0) ) )</f>
        <v>18.27</v>
      </c>
      <c r="E256" s="231" t="n">
        <f aca="false">IF(ISERROR(A256), 0,  MAX(0,   MIN(    ROUND(G255 + D256, 2),    ROUND(FV($S$5, IF(type=1, A256, A255), , IF(J256&lt;&gt;1, -$D$20, -$P$16 + P256), 2), 0)   )  ) )</f>
        <v>27</v>
      </c>
      <c r="F256" s="231" t="n">
        <f aca="false">IF(J256&lt;&gt;1, "", IF(J255&lt;&gt;0, F255, $K$12))</f>
        <v>1</v>
      </c>
      <c r="G256" s="232" t="n">
        <f aca="false">IF(ISERROR(A256),"",ROUND(G255-E256+D256,2))</f>
        <v>4468.26</v>
      </c>
      <c r="H256" s="237" t="n">
        <f aca="false">IF(G256&gt;0,IFERROR(H255+(H255*($D$16/12)),""),"")</f>
        <v>26.9007271025879</v>
      </c>
      <c r="I256" s="223" t="n">
        <f aca="false">IF(ISERROR(A257),"",12 - MONTH(B256))</f>
        <v>3</v>
      </c>
      <c r="J256" s="224" t="n">
        <f aca="false">K256</f>
        <v>1</v>
      </c>
      <c r="K256" s="225" t="n">
        <f aca="false">_xlfn.IFNA(IF(B256&gt;=$K$11, 1,0),0)</f>
        <v>1</v>
      </c>
      <c r="L256" s="60" t="str">
        <f aca="false">IF(I256=0,1,"")</f>
        <v/>
      </c>
      <c r="P256" s="4" t="n">
        <f aca="false">IF(AND(G256&gt;E256, A256&lt;&gt;0, V256&lt;&gt;0), $N$5 * ($P$22 ^ V256 - 1), 0)</f>
        <v>0</v>
      </c>
      <c r="V256" s="71" t="n">
        <f aca="false">IF(B256&lt;EDATE($K$11,12), 0,  DATEDIF(EDATE($K$11,12), B256 + 1, "y") + 1 )</f>
        <v>14</v>
      </c>
    </row>
    <row r="257" customFormat="false" ht="12.75" hidden="false" customHeight="true" outlineLevel="0" collapsed="false">
      <c r="A257" s="228" t="n">
        <f aca="false">IF(OR(G256="",G256&lt;=0,C256&gt;150),NA(),A256+1)</f>
        <v>229</v>
      </c>
      <c r="B257" s="229" t="n">
        <f aca="false">IF(ISERROR(A257),"",IF($D$9="Annually",EDATE(B256,12),EDATE(B256,1)))</f>
        <v>53263</v>
      </c>
      <c r="C257" s="230" t="n">
        <f aca="false">IF(ISERROR(A257),"",C256+IF($D$9="Monthly",1/12,1))</f>
        <v>80.1333333333325</v>
      </c>
      <c r="D257" s="231" t="n">
        <f aca="false">IF(L256&lt;&gt;1, IF(G256&lt;E256,0,D256),IF(L256=1,IFERROR(ROUND(IF($G256 - (E256 * 6) &lt; 0, D256, ($G256 - (E256 * 6)) * $D$8 / 12),2),0) ) )</f>
        <v>18.27</v>
      </c>
      <c r="E257" s="231" t="n">
        <f aca="false">IF(ISERROR(A257), 0,  MAX(0,   MIN(    ROUND(G256 + D257, 2),    ROUND(FV($S$5, IF(type=1, A257, A256), , IF(J257&lt;&gt;1, -$D$20, -$P$16 + P257), 2), 0)   )  ) )</f>
        <v>27</v>
      </c>
      <c r="F257" s="231" t="n">
        <f aca="false">IF(J257&lt;&gt;1, "", IF(J256&lt;&gt;0, F256, $K$12))</f>
        <v>1</v>
      </c>
      <c r="G257" s="232" t="n">
        <f aca="false">IF(ISERROR(A257),"",ROUND(G256-E257+D257,2))</f>
        <v>4459.53</v>
      </c>
      <c r="H257" s="237" t="n">
        <f aca="false">IF(G257&gt;0,IFERROR(H256+(H256*($D$16/12)),""),"")</f>
        <v>26.9455616477589</v>
      </c>
      <c r="I257" s="223" t="n">
        <f aca="false">IF(ISERROR(A258),"",12 - MONTH(B257))</f>
        <v>2</v>
      </c>
      <c r="J257" s="224" t="n">
        <f aca="false">K257</f>
        <v>1</v>
      </c>
      <c r="K257" s="225" t="n">
        <f aca="false">_xlfn.IFNA(IF(B257&gt;=$K$11, 1,0),0)</f>
        <v>1</v>
      </c>
      <c r="L257" s="60" t="str">
        <f aca="false">IF(I257=0,1,"")</f>
        <v/>
      </c>
      <c r="P257" s="4" t="n">
        <f aca="false">IF(AND(G257&gt;E257, A257&lt;&gt;0, V257&lt;&gt;0), $N$5 * ($P$22 ^ V257 - 1), 0)</f>
        <v>0</v>
      </c>
      <c r="V257" s="71" t="n">
        <f aca="false">IF(B257&lt;EDATE($K$11,12), 0,  DATEDIF(EDATE($K$11,12), B257 + 1, "y") + 1 )</f>
        <v>14</v>
      </c>
    </row>
    <row r="258" customFormat="false" ht="12.75" hidden="false" customHeight="true" outlineLevel="0" collapsed="false">
      <c r="A258" s="228" t="n">
        <f aca="false">IF(OR(G257="",G257&lt;=0,C257&gt;150),NA(),A257+1)</f>
        <v>230</v>
      </c>
      <c r="B258" s="229" t="n">
        <f aca="false">IF(ISERROR(A258),"",IF($D$9="Annually",EDATE(B257,12),EDATE(B257,1)))</f>
        <v>53294</v>
      </c>
      <c r="C258" s="230" t="n">
        <f aca="false">IF(ISERROR(A258),"",C257+IF($D$9="Monthly",1/12,1))</f>
        <v>80.2166666666658</v>
      </c>
      <c r="D258" s="231" t="n">
        <f aca="false">IF(L257&lt;&gt;1, IF(G257&lt;E257,0,D257),IF(L257=1,IFERROR(ROUND(IF($G257 - (E257 * 6) &lt; 0, D257, ($G257 - (E257 * 6)) * $D$8 / 12),2),0) ) )</f>
        <v>18.27</v>
      </c>
      <c r="E258" s="231" t="n">
        <f aca="false">IF(ISERROR(A258), 0,  MAX(0,   MIN(    ROUND(G257 + D258, 2),    ROUND(FV($S$5, IF(type=1, A258, A257), , IF(J258&lt;&gt;1, -$D$20, -$P$16 + P258), 2), 0)   )  ) )</f>
        <v>27</v>
      </c>
      <c r="F258" s="231" t="n">
        <f aca="false">IF(J258&lt;&gt;1, "", IF(J257&lt;&gt;0, F257, $K$12))</f>
        <v>1</v>
      </c>
      <c r="G258" s="232" t="n">
        <f aca="false">IF(ISERROR(A258),"",ROUND(G257-E258+D258,2))</f>
        <v>4450.8</v>
      </c>
      <c r="H258" s="237" t="n">
        <f aca="false">IF(G258&gt;0,IFERROR(H257+(H257*($D$16/12)),""),"")</f>
        <v>26.9904709171718</v>
      </c>
      <c r="I258" s="223" t="n">
        <f aca="false">IF(ISERROR(A259),"",12 - MONTH(B258))</f>
        <v>1</v>
      </c>
      <c r="J258" s="224" t="n">
        <f aca="false">K258</f>
        <v>1</v>
      </c>
      <c r="K258" s="225" t="n">
        <f aca="false">_xlfn.IFNA(IF(B258&gt;=$K$11, 1,0),0)</f>
        <v>1</v>
      </c>
      <c r="L258" s="60" t="str">
        <f aca="false">IF(I258=0,1,"")</f>
        <v/>
      </c>
      <c r="P258" s="4" t="n">
        <f aca="false">IF(AND(G258&gt;E258, A258&lt;&gt;0, V258&lt;&gt;0), $N$5 * ($P$22 ^ V258 - 1), 0)</f>
        <v>0</v>
      </c>
      <c r="V258" s="71" t="n">
        <f aca="false">IF(B258&lt;EDATE($K$11,12), 0,  DATEDIF(EDATE($K$11,12), B258 + 1, "y") + 1 )</f>
        <v>14</v>
      </c>
    </row>
    <row r="259" customFormat="false" ht="12.75" hidden="false" customHeight="true" outlineLevel="0" collapsed="false">
      <c r="A259" s="228" t="n">
        <f aca="false">IF(OR(G258="",G258&lt;=0,C258&gt;150),NA(),A258+1)</f>
        <v>231</v>
      </c>
      <c r="B259" s="229" t="n">
        <f aca="false">IF(ISERROR(A259),"",IF($D$9="Annually",EDATE(B258,12),EDATE(B258,1)))</f>
        <v>53324</v>
      </c>
      <c r="C259" s="230" t="n">
        <f aca="false">IF(ISERROR(A259),"",C258+IF($D$9="Monthly",1/12,1))</f>
        <v>80.2999999999992</v>
      </c>
      <c r="D259" s="231" t="n">
        <f aca="false">IF(L258&lt;&gt;1, IF(G258&lt;E258,0,D258),IF(L258=1,IFERROR(ROUND(IF($G258 - (E258 * 6) &lt; 0, D258, ($G258 - (E258 * 6)) * $D$8 / 12),2),0) ) )</f>
        <v>18.27</v>
      </c>
      <c r="E259" s="231" t="n">
        <f aca="false">IF(ISERROR(A259), 0,  MAX(0,   MIN(    ROUND(G258 + D259, 2),    ROUND(FV($S$5, IF(type=1, A259, A258), , IF(J259&lt;&gt;1, -$D$20, -$P$16 + P259), 2), 0)   )  ) )</f>
        <v>28</v>
      </c>
      <c r="F259" s="231" t="n">
        <f aca="false">IF(J259&lt;&gt;1, "", IF(J258&lt;&gt;0, F258, $K$12))</f>
        <v>1</v>
      </c>
      <c r="G259" s="232" t="n">
        <f aca="false">IF(ISERROR(A259),"",ROUND(G258-E259+D259,2))</f>
        <v>4441.07</v>
      </c>
      <c r="H259" s="237" t="n">
        <f aca="false">IF(G259&gt;0,IFERROR(H258+(H258*($D$16/12)),""),"")</f>
        <v>27.0354550353671</v>
      </c>
      <c r="I259" s="223" t="n">
        <f aca="false">IF(ISERROR(A260),"",12 - MONTH(B259))</f>
        <v>0</v>
      </c>
      <c r="J259" s="224" t="n">
        <f aca="false">K259</f>
        <v>1</v>
      </c>
      <c r="K259" s="225" t="n">
        <f aca="false">_xlfn.IFNA(IF(B259&gt;=$K$11, 1,0),0)</f>
        <v>1</v>
      </c>
      <c r="L259" s="60" t="n">
        <f aca="false">IF(I259=0,1,"")</f>
        <v>1</v>
      </c>
      <c r="P259" s="4" t="n">
        <f aca="false">IF(AND(G259&gt;E259, A259&lt;&gt;0, V259&lt;&gt;0), $N$5 * ($P$22 ^ V259 - 1), 0)</f>
        <v>0</v>
      </c>
      <c r="V259" s="71" t="n">
        <f aca="false">IF(B259&lt;EDATE($K$11,12), 0,  DATEDIF(EDATE($K$11,12), B259 + 1, "y") + 1 )</f>
        <v>14</v>
      </c>
    </row>
    <row r="260" customFormat="false" ht="12.75" hidden="false" customHeight="true" outlineLevel="0" collapsed="false">
      <c r="A260" s="228" t="n">
        <f aca="false">IF(OR(G259="",G259&lt;=0,C259&gt;150),NA(),A259+1)</f>
        <v>232</v>
      </c>
      <c r="B260" s="229" t="n">
        <f aca="false">IF(ISERROR(A260),"",IF($D$9="Annually",EDATE(B259,12),EDATE(B259,1)))</f>
        <v>53355</v>
      </c>
      <c r="C260" s="230" t="n">
        <f aca="false">IF(ISERROR(A260),"",C259+IF($D$9="Monthly",1/12,1))</f>
        <v>80.3833333333325</v>
      </c>
      <c r="D260" s="231" t="n">
        <f aca="false">IF(L259&lt;&gt;1, IF(G259&lt;E259,0,D259),IF(L259=1,IFERROR(ROUND(IF($G259 - (E259 * 6) &lt; 0, D259, ($G259 - (E259 * 6)) * $D$8 / 12),2),0) ) )</f>
        <v>17.8</v>
      </c>
      <c r="E260" s="231" t="n">
        <f aca="false">IF(ISERROR(A260), 0,  MAX(0,   MIN(    ROUND(G259 + D260, 2),    ROUND(FV($S$5, IF(type=1, A260, A259), , IF(J260&lt;&gt;1, -$D$20, -$P$16 + P260), 2), 0)   )  ) )</f>
        <v>28</v>
      </c>
      <c r="F260" s="231" t="n">
        <f aca="false">IF(J260&lt;&gt;1, "", IF(J259&lt;&gt;0, F259, $K$12))</f>
        <v>1</v>
      </c>
      <c r="G260" s="232" t="n">
        <f aca="false">IF(ISERROR(A260),"",ROUND(G259-E260+D260,2))</f>
        <v>4430.87</v>
      </c>
      <c r="H260" s="237" t="n">
        <f aca="false">IF(G260&gt;0,IFERROR(H259+(H259*($D$16/12)),""),"")</f>
        <v>27.0805141270927</v>
      </c>
      <c r="I260" s="223" t="n">
        <f aca="false">IF(ISERROR(A261),"",12 - MONTH(B260))</f>
        <v>11</v>
      </c>
      <c r="J260" s="224" t="n">
        <f aca="false">K260</f>
        <v>1</v>
      </c>
      <c r="K260" s="225" t="n">
        <f aca="false">_xlfn.IFNA(IF(B260&gt;=$K$11, 1,0),0)</f>
        <v>1</v>
      </c>
      <c r="L260" s="60" t="str">
        <f aca="false">IF(I260=0,1,"")</f>
        <v/>
      </c>
      <c r="P260" s="4" t="n">
        <f aca="false">IF(AND(G260&gt;E260, A260&lt;&gt;0, V260&lt;&gt;0), $N$5 * ($P$22 ^ V260 - 1), 0)</f>
        <v>0</v>
      </c>
      <c r="V260" s="71" t="n">
        <f aca="false">IF(B260&lt;EDATE($K$11,12), 0,  DATEDIF(EDATE($K$11,12), B260 + 1, "y") + 1 )</f>
        <v>15</v>
      </c>
    </row>
    <row r="261" customFormat="false" ht="12.75" hidden="false" customHeight="true" outlineLevel="0" collapsed="false">
      <c r="A261" s="228" t="n">
        <f aca="false">IF(OR(G260="",G260&lt;=0,C260&gt;150),NA(),A260+1)</f>
        <v>233</v>
      </c>
      <c r="B261" s="229" t="n">
        <f aca="false">IF(ISERROR(A261),"",IF($D$9="Annually",EDATE(B260,12),EDATE(B260,1)))</f>
        <v>53386</v>
      </c>
      <c r="C261" s="230" t="n">
        <f aca="false">IF(ISERROR(A261),"",C260+IF($D$9="Monthly",1/12,1))</f>
        <v>80.4666666666658</v>
      </c>
      <c r="D261" s="231" t="n">
        <f aca="false">IF(L260&lt;&gt;1, IF(G260&lt;E260,0,D260),IF(L260=1,IFERROR(ROUND(IF($G260 - (E260 * 6) &lt; 0, D260, ($G260 - (E260 * 6)) * $D$8 / 12),2),0) ) )</f>
        <v>17.8</v>
      </c>
      <c r="E261" s="231" t="n">
        <f aca="false">IF(ISERROR(A261), 0,  MAX(0,   MIN(    ROUND(G260 + D261, 2),    ROUND(FV($S$5, IF(type=1, A261, A260), , IF(J261&lt;&gt;1, -$D$20, -$P$16 + P261), 2), 0)   )  ) )</f>
        <v>28</v>
      </c>
      <c r="F261" s="231" t="n">
        <f aca="false">IF(J261&lt;&gt;1, "", IF(J260&lt;&gt;0, F260, $K$12))</f>
        <v>1</v>
      </c>
      <c r="G261" s="232" t="n">
        <f aca="false">IF(ISERROR(A261),"",ROUND(G260-E261+D261,2))</f>
        <v>4420.67</v>
      </c>
      <c r="H261" s="237" t="n">
        <f aca="false">IF(G261&gt;0,IFERROR(H260+(H260*($D$16/12)),""),"")</f>
        <v>27.1256483173045</v>
      </c>
      <c r="I261" s="223" t="n">
        <f aca="false">IF(ISERROR(A262),"",12 - MONTH(B261))</f>
        <v>10</v>
      </c>
      <c r="J261" s="224" t="n">
        <f aca="false">K261</f>
        <v>1</v>
      </c>
      <c r="K261" s="225" t="n">
        <f aca="false">_xlfn.IFNA(IF(B261&gt;=$K$11, 1,0),0)</f>
        <v>1</v>
      </c>
      <c r="L261" s="60" t="str">
        <f aca="false">IF(I261=0,1,"")</f>
        <v/>
      </c>
      <c r="P261" s="4" t="n">
        <f aca="false">IF(AND(G261&gt;E261, A261&lt;&gt;0, V261&lt;&gt;0), $N$5 * ($P$22 ^ V261 - 1), 0)</f>
        <v>0</v>
      </c>
      <c r="V261" s="71" t="n">
        <f aca="false">IF(B261&lt;EDATE($K$11,12), 0,  DATEDIF(EDATE($K$11,12), B261 + 1, "y") + 1 )</f>
        <v>15</v>
      </c>
    </row>
    <row r="262" customFormat="false" ht="12.75" hidden="false" customHeight="true" outlineLevel="0" collapsed="false">
      <c r="A262" s="228" t="n">
        <f aca="false">IF(OR(G261="",G261&lt;=0,C261&gt;150),NA(),A261+1)</f>
        <v>234</v>
      </c>
      <c r="B262" s="229" t="n">
        <f aca="false">IF(ISERROR(A262),"",IF($D$9="Annually",EDATE(B261,12),EDATE(B261,1)))</f>
        <v>53414</v>
      </c>
      <c r="C262" s="230" t="n">
        <f aca="false">IF(ISERROR(A262),"",C261+IF($D$9="Monthly",1/12,1))</f>
        <v>80.5499999999991</v>
      </c>
      <c r="D262" s="231" t="n">
        <f aca="false">IF(L261&lt;&gt;1, IF(G261&lt;E261,0,D261),IF(L261=1,IFERROR(ROUND(IF($G261 - (E261 * 6) &lt; 0, D261, ($G261 - (E261 * 6)) * $D$8 / 12),2),0) ) )</f>
        <v>17.8</v>
      </c>
      <c r="E262" s="231" t="n">
        <f aca="false">IF(ISERROR(A262), 0,  MAX(0,   MIN(    ROUND(G261 + D262, 2),    ROUND(FV($S$5, IF(type=1, A262, A261), , IF(J262&lt;&gt;1, -$D$20, -$P$16 + P262), 2), 0)   )  ) )</f>
        <v>28</v>
      </c>
      <c r="F262" s="231" t="n">
        <f aca="false">IF(J262&lt;&gt;1, "", IF(J261&lt;&gt;0, F261, $K$12))</f>
        <v>1</v>
      </c>
      <c r="G262" s="232" t="n">
        <f aca="false">IF(ISERROR(A262),"",ROUND(G261-E262+D262,2))</f>
        <v>4410.47</v>
      </c>
      <c r="H262" s="237" t="n">
        <f aca="false">IF(G262&gt;0,IFERROR(H261+(H261*($D$16/12)),""),"")</f>
        <v>27.1708577311667</v>
      </c>
      <c r="I262" s="223" t="n">
        <f aca="false">IF(ISERROR(A263),"",12 - MONTH(B262))</f>
        <v>9</v>
      </c>
      <c r="J262" s="224" t="n">
        <f aca="false">K262</f>
        <v>1</v>
      </c>
      <c r="K262" s="225" t="n">
        <f aca="false">_xlfn.IFNA(IF(B262&gt;=$K$11, 1,0),0)</f>
        <v>1</v>
      </c>
      <c r="L262" s="60" t="str">
        <f aca="false">IF(I262=0,1,"")</f>
        <v/>
      </c>
      <c r="P262" s="4" t="n">
        <f aca="false">IF(AND(G262&gt;E262, A262&lt;&gt;0, V262&lt;&gt;0), $N$5 * ($P$22 ^ V262 - 1), 0)</f>
        <v>0</v>
      </c>
      <c r="V262" s="71" t="n">
        <f aca="false">IF(B262&lt;EDATE($K$11,12), 0,  DATEDIF(EDATE($K$11,12), B262 + 1, "y") + 1 )</f>
        <v>15</v>
      </c>
    </row>
    <row r="263" customFormat="false" ht="12.75" hidden="false" customHeight="true" outlineLevel="0" collapsed="false">
      <c r="A263" s="228" t="n">
        <f aca="false">IF(OR(G262="",G262&lt;=0,C262&gt;150),NA(),A262+1)</f>
        <v>235</v>
      </c>
      <c r="B263" s="229" t="n">
        <f aca="false">IF(ISERROR(A263),"",IF($D$9="Annually",EDATE(B262,12),EDATE(B262,1)))</f>
        <v>53445</v>
      </c>
      <c r="C263" s="230" t="n">
        <f aca="false">IF(ISERROR(A263),"",C262+IF($D$9="Monthly",1/12,1))</f>
        <v>80.6333333333325</v>
      </c>
      <c r="D263" s="231" t="n">
        <f aca="false">IF(L262&lt;&gt;1, IF(G262&lt;E262,0,D262),IF(L262=1,IFERROR(ROUND(IF($G262 - (E262 * 6) &lt; 0, D262, ($G262 - (E262 * 6)) * $D$8 / 12),2),0) ) )</f>
        <v>17.8</v>
      </c>
      <c r="E263" s="231" t="n">
        <f aca="false">IF(ISERROR(A263), 0,  MAX(0,   MIN(    ROUND(G262 + D263, 2),    ROUND(FV($S$5, IF(type=1, A263, A262), , IF(J263&lt;&gt;1, -$D$20, -$P$16 + P263), 2), 0)   )  ) )</f>
        <v>28</v>
      </c>
      <c r="F263" s="231" t="n">
        <f aca="false">IF(J263&lt;&gt;1, "", IF(J262&lt;&gt;0, F262, $K$12))</f>
        <v>1</v>
      </c>
      <c r="G263" s="232" t="n">
        <f aca="false">IF(ISERROR(A263),"",ROUND(G262-E263+D263,2))</f>
        <v>4400.27</v>
      </c>
      <c r="H263" s="237" t="n">
        <f aca="false">IF(G263&gt;0,IFERROR(H262+(H262*($D$16/12)),""),"")</f>
        <v>27.216142494052</v>
      </c>
      <c r="I263" s="223" t="n">
        <f aca="false">IF(ISERROR(A264),"",12 - MONTH(B263))</f>
        <v>8</v>
      </c>
      <c r="J263" s="224" t="n">
        <f aca="false">K263</f>
        <v>1</v>
      </c>
      <c r="K263" s="225" t="n">
        <f aca="false">_xlfn.IFNA(IF(B263&gt;=$K$11, 1,0),0)</f>
        <v>1</v>
      </c>
      <c r="L263" s="60" t="str">
        <f aca="false">IF(I263=0,1,"")</f>
        <v/>
      </c>
      <c r="P263" s="4" t="n">
        <f aca="false">IF(AND(G263&gt;E263, A263&lt;&gt;0, V263&lt;&gt;0), $N$5 * ($P$22 ^ V263 - 1), 0)</f>
        <v>0</v>
      </c>
      <c r="V263" s="71" t="n">
        <f aca="false">IF(B263&lt;EDATE($K$11,12), 0,  DATEDIF(EDATE($K$11,12), B263 + 1, "y") + 1 )</f>
        <v>15</v>
      </c>
    </row>
    <row r="264" customFormat="false" ht="12.75" hidden="false" customHeight="true" outlineLevel="0" collapsed="false">
      <c r="A264" s="228" t="n">
        <f aca="false">IF(OR(G263="",G263&lt;=0,C263&gt;150),NA(),A263+1)</f>
        <v>236</v>
      </c>
      <c r="B264" s="229" t="n">
        <f aca="false">IF(ISERROR(A264),"",IF($D$9="Annually",EDATE(B263,12),EDATE(B263,1)))</f>
        <v>53475</v>
      </c>
      <c r="C264" s="230" t="n">
        <f aca="false">IF(ISERROR(A264),"",C263+IF($D$9="Monthly",1/12,1))</f>
        <v>80.7166666666658</v>
      </c>
      <c r="D264" s="231" t="n">
        <f aca="false">IF(L263&lt;&gt;1, IF(G263&lt;E263,0,D263),IF(L263=1,IFERROR(ROUND(IF($G263 - (E263 * 6) &lt; 0, D263, ($G263 - (E263 * 6)) * $D$8 / 12),2),0) ) )</f>
        <v>17.8</v>
      </c>
      <c r="E264" s="231" t="n">
        <f aca="false">IF(ISERROR(A264), 0,  MAX(0,   MIN(    ROUND(G263 + D264, 2),    ROUND(FV($S$5, IF(type=1, A264, A263), , IF(J264&lt;&gt;1, -$D$20, -$P$16 + P264), 2), 0)   )  ) )</f>
        <v>28</v>
      </c>
      <c r="F264" s="231" t="n">
        <f aca="false">IF(J264&lt;&gt;1, "", IF(J263&lt;&gt;0, F263, $K$12))</f>
        <v>1</v>
      </c>
      <c r="G264" s="232" t="n">
        <f aca="false">IF(ISERROR(A264),"",ROUND(G263-E264+D264,2))</f>
        <v>4390.07</v>
      </c>
      <c r="H264" s="237" t="n">
        <f aca="false">IF(G264&gt;0,IFERROR(H263+(H263*($D$16/12)),""),"")</f>
        <v>27.2615027315421</v>
      </c>
      <c r="I264" s="223" t="n">
        <f aca="false">IF(ISERROR(A265),"",12 - MONTH(B264))</f>
        <v>7</v>
      </c>
      <c r="J264" s="224" t="n">
        <f aca="false">K264</f>
        <v>1</v>
      </c>
      <c r="K264" s="225" t="n">
        <f aca="false">_xlfn.IFNA(IF(B264&gt;=$K$11, 1,0),0)</f>
        <v>1</v>
      </c>
      <c r="L264" s="60" t="str">
        <f aca="false">IF(I264=0,1,"")</f>
        <v/>
      </c>
      <c r="P264" s="4" t="n">
        <f aca="false">IF(AND(G264&gt;E264, A264&lt;&gt;0, V264&lt;&gt;0), $N$5 * ($P$22 ^ V264 - 1), 0)</f>
        <v>0</v>
      </c>
      <c r="V264" s="71" t="n">
        <f aca="false">IF(B264&lt;EDATE($K$11,12), 0,  DATEDIF(EDATE($K$11,12), B264 + 1, "y") + 1 )</f>
        <v>15</v>
      </c>
    </row>
    <row r="265" customFormat="false" ht="12.75" hidden="false" customHeight="true" outlineLevel="0" collapsed="false">
      <c r="A265" s="228" t="n">
        <f aca="false">IF(OR(G264="",G264&lt;=0,C264&gt;150),NA(),A264+1)</f>
        <v>237</v>
      </c>
      <c r="B265" s="229" t="n">
        <f aca="false">IF(ISERROR(A265),"",IF($D$9="Annually",EDATE(B264,12),EDATE(B264,1)))</f>
        <v>53506</v>
      </c>
      <c r="C265" s="230" t="n">
        <f aca="false">IF(ISERROR(A265),"",C264+IF($D$9="Monthly",1/12,1))</f>
        <v>80.7999999999991</v>
      </c>
      <c r="D265" s="231" t="n">
        <f aca="false">IF(L264&lt;&gt;1, IF(G264&lt;E264,0,D264),IF(L264=1,IFERROR(ROUND(IF($G264 - (E264 * 6) &lt; 0, D264, ($G264 - (E264 * 6)) * $D$8 / 12),2),0) ) )</f>
        <v>17.8</v>
      </c>
      <c r="E265" s="231" t="n">
        <f aca="false">IF(ISERROR(A265), 0,  MAX(0,   MIN(    ROUND(G264 + D265, 2),    ROUND(FV($S$5, IF(type=1, A265, A264), , IF(J265&lt;&gt;1, -$D$20, -$P$16 + P265), 2), 0)   )  ) )</f>
        <v>28</v>
      </c>
      <c r="F265" s="231" t="n">
        <f aca="false">IF(J265&lt;&gt;1, "", IF(J264&lt;&gt;0, F264, $K$12))</f>
        <v>1</v>
      </c>
      <c r="G265" s="232" t="n">
        <f aca="false">IF(ISERROR(A265),"",ROUND(G264-E265+D265,2))</f>
        <v>4379.87</v>
      </c>
      <c r="H265" s="237" t="n">
        <f aca="false">IF(G265&gt;0,IFERROR(H264+(H264*($D$16/12)),""),"")</f>
        <v>27.306938569428</v>
      </c>
      <c r="I265" s="223" t="n">
        <f aca="false">IF(ISERROR(A266),"",12 - MONTH(B265))</f>
        <v>6</v>
      </c>
      <c r="J265" s="224" t="n">
        <f aca="false">K265</f>
        <v>1</v>
      </c>
      <c r="K265" s="225" t="n">
        <f aca="false">_xlfn.IFNA(IF(B265&gt;=$K$11, 1,0),0)</f>
        <v>1</v>
      </c>
      <c r="L265" s="60" t="str">
        <f aca="false">IF(I265=0,1,"")</f>
        <v/>
      </c>
      <c r="P265" s="4" t="n">
        <f aca="false">IF(AND(G265&gt;E265, A265&lt;&gt;0, V265&lt;&gt;0), $N$5 * ($P$22 ^ V265 - 1), 0)</f>
        <v>0</v>
      </c>
      <c r="V265" s="71" t="n">
        <f aca="false">IF(B265&lt;EDATE($K$11,12), 0,  DATEDIF(EDATE($K$11,12), B265 + 1, "y") + 1 )</f>
        <v>15</v>
      </c>
    </row>
    <row r="266" customFormat="false" ht="12.75" hidden="false" customHeight="true" outlineLevel="0" collapsed="false">
      <c r="A266" s="228" t="n">
        <f aca="false">IF(OR(G265="",G265&lt;=0,C265&gt;150),NA(),A265+1)</f>
        <v>238</v>
      </c>
      <c r="B266" s="229" t="n">
        <f aca="false">IF(ISERROR(A266),"",IF($D$9="Annually",EDATE(B265,12),EDATE(B265,1)))</f>
        <v>53536</v>
      </c>
      <c r="C266" s="230" t="n">
        <f aca="false">IF(ISERROR(A266),"",C265+IF($D$9="Monthly",1/12,1))</f>
        <v>80.8833333333325</v>
      </c>
      <c r="D266" s="231" t="n">
        <f aca="false">IF(L265&lt;&gt;1, IF(G265&lt;E265,0,D265),IF(L265=1,IFERROR(ROUND(IF($G265 - (E265 * 6) &lt; 0, D265, ($G265 - (E265 * 6)) * $D$8 / 12),2),0) ) )</f>
        <v>17.8</v>
      </c>
      <c r="E266" s="231" t="n">
        <f aca="false">IF(ISERROR(A266), 0,  MAX(0,   MIN(    ROUND(G265 + D266, 2),    ROUND(FV($S$5, IF(type=1, A266, A265), , IF(J266&lt;&gt;1, -$D$20, -$P$16 + P266), 2), 0)   )  ) )</f>
        <v>28</v>
      </c>
      <c r="F266" s="231" t="n">
        <f aca="false">IF(J266&lt;&gt;1, "", IF(J265&lt;&gt;0, F265, $K$12))</f>
        <v>1</v>
      </c>
      <c r="G266" s="232" t="n">
        <f aca="false">IF(ISERROR(A266),"",ROUND(G265-E266+D266,2))</f>
        <v>4369.67</v>
      </c>
      <c r="H266" s="237" t="n">
        <f aca="false">IF(G266&gt;0,IFERROR(H265+(H265*($D$16/12)),""),"")</f>
        <v>27.3524501337103</v>
      </c>
      <c r="I266" s="223" t="n">
        <f aca="false">IF(ISERROR(A267),"",12 - MONTH(B266))</f>
        <v>5</v>
      </c>
      <c r="J266" s="224" t="n">
        <f aca="false">K266</f>
        <v>1</v>
      </c>
      <c r="K266" s="225" t="n">
        <f aca="false">_xlfn.IFNA(IF(B266&gt;=$K$11, 1,0),0)</f>
        <v>1</v>
      </c>
      <c r="L266" s="60" t="str">
        <f aca="false">IF(I266=0,1,"")</f>
        <v/>
      </c>
      <c r="P266" s="4" t="n">
        <f aca="false">IF(AND(G266&gt;E266, A266&lt;&gt;0, V266&lt;&gt;0), $N$5 * ($P$22 ^ V266 - 1), 0)</f>
        <v>0</v>
      </c>
      <c r="V266" s="71" t="n">
        <f aca="false">IF(B266&lt;EDATE($K$11,12), 0,  DATEDIF(EDATE($K$11,12), B266 + 1, "y") + 1 )</f>
        <v>15</v>
      </c>
    </row>
    <row r="267" customFormat="false" ht="12.75" hidden="false" customHeight="true" outlineLevel="0" collapsed="false">
      <c r="A267" s="228" t="n">
        <f aca="false">IF(OR(G266="",G266&lt;=0,C266&gt;150),NA(),A266+1)</f>
        <v>239</v>
      </c>
      <c r="B267" s="229" t="n">
        <f aca="false">IF(ISERROR(A267),"",IF($D$9="Annually",EDATE(B266,12),EDATE(B266,1)))</f>
        <v>53567</v>
      </c>
      <c r="C267" s="230" t="n">
        <f aca="false">IF(ISERROR(A267),"",C266+IF($D$9="Monthly",1/12,1))</f>
        <v>80.9666666666658</v>
      </c>
      <c r="D267" s="231" t="n">
        <f aca="false">IF(L266&lt;&gt;1, IF(G266&lt;E266,0,D266),IF(L266=1,IFERROR(ROUND(IF($G266 - (E266 * 6) &lt; 0, D266, ($G266 - (E266 * 6)) * $D$8 / 12),2),0) ) )</f>
        <v>17.8</v>
      </c>
      <c r="E267" s="231" t="n">
        <f aca="false">IF(ISERROR(A267), 0,  MAX(0,   MIN(    ROUND(G266 + D267, 2),    ROUND(FV($S$5, IF(type=1, A267, A266), , IF(J267&lt;&gt;1, -$D$20, -$P$16 + P267), 2), 0)   )  ) )</f>
        <v>28</v>
      </c>
      <c r="F267" s="231" t="n">
        <f aca="false">IF(J267&lt;&gt;1, "", IF(J266&lt;&gt;0, F266, $K$12))</f>
        <v>1</v>
      </c>
      <c r="G267" s="232" t="n">
        <f aca="false">IF(ISERROR(A267),"",ROUND(G266-E267+D267,2))</f>
        <v>4359.47</v>
      </c>
      <c r="H267" s="237" t="n">
        <f aca="false">IF(G267&gt;0,IFERROR(H266+(H266*($D$16/12)),""),"")</f>
        <v>27.3980375505999</v>
      </c>
      <c r="I267" s="223" t="n">
        <f aca="false">IF(ISERROR(A268),"",12 - MONTH(B267))</f>
        <v>4</v>
      </c>
      <c r="J267" s="224" t="n">
        <f aca="false">K267</f>
        <v>1</v>
      </c>
      <c r="K267" s="225" t="n">
        <f aca="false">_xlfn.IFNA(IF(B267&gt;=$K$11, 1,0),0)</f>
        <v>1</v>
      </c>
      <c r="L267" s="60" t="str">
        <f aca="false">IF(I267=0,1,"")</f>
        <v/>
      </c>
      <c r="P267" s="4" t="n">
        <f aca="false">IF(AND(G267&gt;E267, A267&lt;&gt;0, V267&lt;&gt;0), $N$5 * ($P$22 ^ V267 - 1), 0)</f>
        <v>0</v>
      </c>
      <c r="V267" s="71" t="n">
        <f aca="false">IF(B267&lt;EDATE($K$11,12), 0,  DATEDIF(EDATE($K$11,12), B267 + 1, "y") + 1 )</f>
        <v>15</v>
      </c>
    </row>
    <row r="268" customFormat="false" ht="12.75" hidden="false" customHeight="true" outlineLevel="0" collapsed="false">
      <c r="A268" s="228" t="n">
        <f aca="false">IF(OR(G267="",G267&lt;=0,C267&gt;150),NA(),A267+1)</f>
        <v>240</v>
      </c>
      <c r="B268" s="229" t="n">
        <f aca="false">IF(ISERROR(A268),"",IF($D$9="Annually",EDATE(B267,12),EDATE(B267,1)))</f>
        <v>53598</v>
      </c>
      <c r="C268" s="230" t="n">
        <f aca="false">IF(ISERROR(A268),"",C267+IF($D$9="Monthly",1/12,1))</f>
        <v>81.0499999999991</v>
      </c>
      <c r="D268" s="231" t="n">
        <f aca="false">IF(L267&lt;&gt;1, IF(G267&lt;E267,0,D267),IF(L267=1,IFERROR(ROUND(IF($G267 - (E267 * 6) &lt; 0, D267, ($G267 - (E267 * 6)) * $D$8 / 12),2),0) ) )</f>
        <v>17.8</v>
      </c>
      <c r="E268" s="231" t="n">
        <f aca="false">IF(ISERROR(A268), 0,  MAX(0,   MIN(    ROUND(G267 + D268, 2),    ROUND(FV($S$5, IF(type=1, A268, A267), , IF(J268&lt;&gt;1, -$D$20, -$P$16 + P268), 2), 0)   )  ) )</f>
        <v>28</v>
      </c>
      <c r="F268" s="231" t="n">
        <f aca="false">IF(J268&lt;&gt;1, "", IF(J267&lt;&gt;0, F267, $K$12))</f>
        <v>1</v>
      </c>
      <c r="G268" s="232" t="n">
        <f aca="false">IF(ISERROR(A268),"",ROUND(G267-E268+D268,2))</f>
        <v>4349.27</v>
      </c>
      <c r="H268" s="237" t="n">
        <f aca="false">IF(G268&gt;0,IFERROR(H267+(H267*($D$16/12)),""),"")</f>
        <v>27.4437009465175</v>
      </c>
      <c r="I268" s="223" t="n">
        <f aca="false">IF(ISERROR(A269),"",12 - MONTH(B268))</f>
        <v>3</v>
      </c>
      <c r="J268" s="224" t="n">
        <f aca="false">K268</f>
        <v>1</v>
      </c>
      <c r="K268" s="225" t="n">
        <f aca="false">_xlfn.IFNA(IF(B268&gt;=$K$11, 1,0),0)</f>
        <v>1</v>
      </c>
      <c r="L268" s="60" t="str">
        <f aca="false">IF(I268=0,1,"")</f>
        <v/>
      </c>
      <c r="P268" s="4" t="n">
        <f aca="false">IF(AND(G268&gt;E268, A268&lt;&gt;0, V268&lt;&gt;0), $N$5 * ($P$22 ^ V268 - 1), 0)</f>
        <v>0</v>
      </c>
      <c r="V268" s="71" t="n">
        <f aca="false">IF(B268&lt;EDATE($K$11,12), 0,  DATEDIF(EDATE($K$11,12), B268 + 1, "y") + 1 )</f>
        <v>15</v>
      </c>
    </row>
    <row r="269" customFormat="false" ht="12.75" hidden="false" customHeight="true" outlineLevel="0" collapsed="false">
      <c r="A269" s="228" t="n">
        <f aca="false">IF(OR(G268="",G268&lt;=0,C268&gt;150),NA(),A268+1)</f>
        <v>241</v>
      </c>
      <c r="B269" s="229" t="n">
        <f aca="false">IF(ISERROR(A269),"",IF($D$9="Annually",EDATE(B268,12),EDATE(B268,1)))</f>
        <v>53628</v>
      </c>
      <c r="C269" s="230" t="n">
        <f aca="false">IF(ISERROR(A269),"",C268+IF($D$9="Monthly",1/12,1))</f>
        <v>81.1333333333324</v>
      </c>
      <c r="D269" s="231" t="n">
        <f aca="false">IF(L268&lt;&gt;1, IF(G268&lt;E268,0,D268),IF(L268=1,IFERROR(ROUND(IF($G268 - (E268 * 6) &lt; 0, D268, ($G268 - (E268 * 6)) * $D$8 / 12),2),0) ) )</f>
        <v>17.8</v>
      </c>
      <c r="E269" s="231" t="n">
        <f aca="false">IF(ISERROR(A269), 0,  MAX(0,   MIN(    ROUND(G268 + D269, 2),    ROUND(FV($S$5, IF(type=1, A269, A268), , IF(J269&lt;&gt;1, -$D$20, -$P$16 + P269), 2), 0)   )  ) )</f>
        <v>28</v>
      </c>
      <c r="F269" s="231" t="n">
        <f aca="false">IF(J269&lt;&gt;1, "", IF(J268&lt;&gt;0, F268, $K$12))</f>
        <v>1</v>
      </c>
      <c r="G269" s="232" t="n">
        <f aca="false">IF(ISERROR(A269),"",ROUND(G268-E269+D269,2))</f>
        <v>4339.07</v>
      </c>
      <c r="H269" s="237" t="n">
        <f aca="false">IF(G269&gt;0,IFERROR(H268+(H268*($D$16/12)),""),"")</f>
        <v>27.489440448095</v>
      </c>
      <c r="I269" s="223" t="n">
        <f aca="false">IF(ISERROR(A270),"",12 - MONTH(B269))</f>
        <v>2</v>
      </c>
      <c r="J269" s="224" t="n">
        <f aca="false">K269</f>
        <v>1</v>
      </c>
      <c r="K269" s="225" t="n">
        <f aca="false">_xlfn.IFNA(IF(B269&gt;=$K$11, 1,0),0)</f>
        <v>1</v>
      </c>
      <c r="L269" s="60" t="str">
        <f aca="false">IF(I269=0,1,"")</f>
        <v/>
      </c>
      <c r="P269" s="4" t="n">
        <f aca="false">IF(AND(G269&gt;E269, A269&lt;&gt;0, V269&lt;&gt;0), $N$5 * ($P$22 ^ V269 - 1), 0)</f>
        <v>0</v>
      </c>
      <c r="V269" s="71" t="n">
        <f aca="false">IF(B269&lt;EDATE($K$11,12), 0,  DATEDIF(EDATE($K$11,12), B269 + 1, "y") + 1 )</f>
        <v>15</v>
      </c>
    </row>
    <row r="270" customFormat="false" ht="12.75" hidden="false" customHeight="true" outlineLevel="0" collapsed="false">
      <c r="A270" s="228" t="n">
        <f aca="false">IF(OR(G269="",G269&lt;=0,C269&gt;150),NA(),A269+1)</f>
        <v>242</v>
      </c>
      <c r="B270" s="229" t="n">
        <f aca="false">IF(ISERROR(A270),"",IF($D$9="Annually",EDATE(B269,12),EDATE(B269,1)))</f>
        <v>53659</v>
      </c>
      <c r="C270" s="230" t="n">
        <f aca="false">IF(ISERROR(A270),"",C269+IF($D$9="Monthly",1/12,1))</f>
        <v>81.2166666666658</v>
      </c>
      <c r="D270" s="231" t="n">
        <f aca="false">IF(L269&lt;&gt;1, IF(G269&lt;E269,0,D269),IF(L269=1,IFERROR(ROUND(IF($G269 - (E269 * 6) &lt; 0, D269, ($G269 - (E269 * 6)) * $D$8 / 12),2),0) ) )</f>
        <v>17.8</v>
      </c>
      <c r="E270" s="231" t="n">
        <f aca="false">IF(ISERROR(A270), 0,  MAX(0,   MIN(    ROUND(G269 + D270, 2),    ROUND(FV($S$5, IF(type=1, A270, A269), , IF(J270&lt;&gt;1, -$D$20, -$P$16 + P270), 2), 0)   )  ) )</f>
        <v>28</v>
      </c>
      <c r="F270" s="231" t="n">
        <f aca="false">IF(J270&lt;&gt;1, "", IF(J269&lt;&gt;0, F269, $K$12))</f>
        <v>1</v>
      </c>
      <c r="G270" s="232" t="n">
        <f aca="false">IF(ISERROR(A270),"",ROUND(G269-E270+D270,2))</f>
        <v>4328.87</v>
      </c>
      <c r="H270" s="237" t="n">
        <f aca="false">IF(G270&gt;0,IFERROR(H269+(H269*($D$16/12)),""),"")</f>
        <v>27.5352561821752</v>
      </c>
      <c r="I270" s="223" t="n">
        <f aca="false">IF(ISERROR(A271),"",12 - MONTH(B270))</f>
        <v>1</v>
      </c>
      <c r="J270" s="224" t="n">
        <f aca="false">K270</f>
        <v>1</v>
      </c>
      <c r="K270" s="225" t="n">
        <f aca="false">_xlfn.IFNA(IF(B270&gt;=$K$11, 1,0),0)</f>
        <v>1</v>
      </c>
      <c r="L270" s="60" t="str">
        <f aca="false">IF(I270=0,1,"")</f>
        <v/>
      </c>
      <c r="P270" s="4" t="n">
        <f aca="false">IF(AND(G270&gt;E270, A270&lt;&gt;0, V270&lt;&gt;0), $N$5 * ($P$22 ^ V270 - 1), 0)</f>
        <v>0</v>
      </c>
      <c r="V270" s="71" t="n">
        <f aca="false">IF(B270&lt;EDATE($K$11,12), 0,  DATEDIF(EDATE($K$11,12), B270 + 1, "y") + 1 )</f>
        <v>15</v>
      </c>
    </row>
    <row r="271" customFormat="false" ht="12.75" hidden="false" customHeight="true" outlineLevel="0" collapsed="false">
      <c r="A271" s="228" t="n">
        <f aca="false">IF(OR(G270="",G270&lt;=0,C270&gt;150),NA(),A270+1)</f>
        <v>243</v>
      </c>
      <c r="B271" s="229" t="n">
        <f aca="false">IF(ISERROR(A271),"",IF($D$9="Annually",EDATE(B270,12),EDATE(B270,1)))</f>
        <v>53689</v>
      </c>
      <c r="C271" s="230" t="n">
        <f aca="false">IF(ISERROR(A271),"",C270+IF($D$9="Monthly",1/12,1))</f>
        <v>81.2999999999991</v>
      </c>
      <c r="D271" s="231" t="n">
        <f aca="false">IF(L270&lt;&gt;1, IF(G270&lt;E270,0,D270),IF(L270=1,IFERROR(ROUND(IF($G270 - (E270 * 6) &lt; 0, D270, ($G270 - (E270 * 6)) * $D$8 / 12),2),0) ) )</f>
        <v>17.8</v>
      </c>
      <c r="E271" s="231" t="n">
        <f aca="false">IF(ISERROR(A271), 0,  MAX(0,   MIN(    ROUND(G270 + D271, 2),    ROUND(FV($S$5, IF(type=1, A271, A270), , IF(J271&lt;&gt;1, -$D$20, -$P$16 + P271), 2), 0)   )  ) )</f>
        <v>28</v>
      </c>
      <c r="F271" s="231" t="n">
        <f aca="false">IF(J271&lt;&gt;1, "", IF(J270&lt;&gt;0, F270, $K$12))</f>
        <v>1</v>
      </c>
      <c r="G271" s="232" t="n">
        <f aca="false">IF(ISERROR(A271),"",ROUND(G270-E271+D271,2))</f>
        <v>4318.67</v>
      </c>
      <c r="H271" s="237" t="n">
        <f aca="false">IF(G271&gt;0,IFERROR(H270+(H270*($D$16/12)),""),"")</f>
        <v>27.5811482758122</v>
      </c>
      <c r="I271" s="223" t="n">
        <f aca="false">IF(ISERROR(A272),"",12 - MONTH(B271))</f>
        <v>0</v>
      </c>
      <c r="J271" s="224" t="n">
        <f aca="false">K271</f>
        <v>1</v>
      </c>
      <c r="K271" s="225" t="n">
        <f aca="false">_xlfn.IFNA(IF(B271&gt;=$K$11, 1,0),0)</f>
        <v>1</v>
      </c>
      <c r="L271" s="60" t="n">
        <f aca="false">IF(I271=0,1,"")</f>
        <v>1</v>
      </c>
      <c r="P271" s="4" t="n">
        <f aca="false">IF(AND(G271&gt;E271, A271&lt;&gt;0, V271&lt;&gt;0), $N$5 * ($P$22 ^ V271 - 1), 0)</f>
        <v>0</v>
      </c>
      <c r="V271" s="71" t="n">
        <f aca="false">IF(B271&lt;EDATE($K$11,12), 0,  DATEDIF(EDATE($K$11,12), B271 + 1, "y") + 1 )</f>
        <v>15</v>
      </c>
    </row>
    <row r="272" customFormat="false" ht="12.75" hidden="false" customHeight="true" outlineLevel="0" collapsed="false">
      <c r="A272" s="228" t="n">
        <f aca="false">IF(OR(G271="",G271&lt;=0,C271&gt;150),NA(),A271+1)</f>
        <v>244</v>
      </c>
      <c r="B272" s="229" t="n">
        <f aca="false">IF(ISERROR(A272),"",IF($D$9="Annually",EDATE(B271,12),EDATE(B271,1)))</f>
        <v>53720</v>
      </c>
      <c r="C272" s="230" t="n">
        <f aca="false">IF(ISERROR(A272),"",C271+IF($D$9="Monthly",1/12,1))</f>
        <v>81.3833333333324</v>
      </c>
      <c r="D272" s="231" t="n">
        <f aca="false">IF(L271&lt;&gt;1, IF(G271&lt;E271,0,D271),IF(L271=1,IFERROR(ROUND(IF($G271 - (E271 * 6) &lt; 0, D271, ($G271 - (E271 * 6)) * $D$8 / 12),2),0) ) )</f>
        <v>17.29</v>
      </c>
      <c r="E272" s="231" t="n">
        <f aca="false">IF(ISERROR(A272), 0,  MAX(0,   MIN(    ROUND(G271 + D272, 2),    ROUND(FV($S$5, IF(type=1, A272, A271), , IF(J272&lt;&gt;1, -$D$20, -$P$16 + P272), 2), 0)   )  ) )</f>
        <v>28</v>
      </c>
      <c r="F272" s="231" t="n">
        <f aca="false">IF(J272&lt;&gt;1, "", IF(J271&lt;&gt;0, F271, $K$12))</f>
        <v>1</v>
      </c>
      <c r="G272" s="232" t="n">
        <f aca="false">IF(ISERROR(A272),"",ROUND(G271-E272+D272,2))</f>
        <v>4307.96</v>
      </c>
      <c r="H272" s="237" t="n">
        <f aca="false">IF(G272&gt;0,IFERROR(H271+(H271*($D$16/12)),""),"")</f>
        <v>27.6271168562718</v>
      </c>
      <c r="I272" s="223" t="n">
        <f aca="false">IF(ISERROR(A273),"",12 - MONTH(B272))</f>
        <v>11</v>
      </c>
      <c r="J272" s="224" t="n">
        <f aca="false">K272</f>
        <v>1</v>
      </c>
      <c r="K272" s="225" t="n">
        <f aca="false">_xlfn.IFNA(IF(B272&gt;=$K$11, 1,0),0)</f>
        <v>1</v>
      </c>
      <c r="L272" s="60" t="str">
        <f aca="false">IF(I272=0,1,"")</f>
        <v/>
      </c>
      <c r="P272" s="4" t="n">
        <f aca="false">IF(AND(G272&gt;E272, A272&lt;&gt;0, V272&lt;&gt;0), $N$5 * ($P$22 ^ V272 - 1), 0)</f>
        <v>0</v>
      </c>
      <c r="V272" s="71" t="n">
        <f aca="false">IF(B272&lt;EDATE($K$11,12), 0,  DATEDIF(EDATE($K$11,12), B272 + 1, "y") + 1 )</f>
        <v>16</v>
      </c>
    </row>
    <row r="273" customFormat="false" ht="12.75" hidden="false" customHeight="true" outlineLevel="0" collapsed="false">
      <c r="A273" s="228" t="n">
        <f aca="false">IF(OR(G272="",G272&lt;=0,C272&gt;150),NA(),A272+1)</f>
        <v>245</v>
      </c>
      <c r="B273" s="229" t="n">
        <f aca="false">IF(ISERROR(A273),"",IF($D$9="Annually",EDATE(B272,12),EDATE(B272,1)))</f>
        <v>53751</v>
      </c>
      <c r="C273" s="230" t="n">
        <f aca="false">IF(ISERROR(A273),"",C272+IF($D$9="Monthly",1/12,1))</f>
        <v>81.4666666666658</v>
      </c>
      <c r="D273" s="231" t="n">
        <f aca="false">IF(L272&lt;&gt;1, IF(G272&lt;E272,0,D272),IF(L272=1,IFERROR(ROUND(IF($G272 - (E272 * 6) &lt; 0, D272, ($G272 - (E272 * 6)) * $D$8 / 12),2),0) ) )</f>
        <v>17.29</v>
      </c>
      <c r="E273" s="231" t="n">
        <f aca="false">IF(ISERROR(A273), 0,  MAX(0,   MIN(    ROUND(G272 + D273, 2),    ROUND(FV($S$5, IF(type=1, A273, A272), , IF(J273&lt;&gt;1, -$D$20, -$P$16 + P273), 2), 0)   )  ) )</f>
        <v>28</v>
      </c>
      <c r="F273" s="231" t="n">
        <f aca="false">IF(J273&lt;&gt;1, "", IF(J272&lt;&gt;0, F272, $K$12))</f>
        <v>1</v>
      </c>
      <c r="G273" s="232" t="n">
        <f aca="false">IF(ISERROR(A273),"",ROUND(G272-E273+D273,2))</f>
        <v>4297.25</v>
      </c>
      <c r="H273" s="237" t="n">
        <f aca="false">IF(G273&gt;0,IFERROR(H272+(H272*($D$16/12)),""),"")</f>
        <v>27.6731620510323</v>
      </c>
      <c r="I273" s="223" t="n">
        <f aca="false">IF(ISERROR(A274),"",12 - MONTH(B273))</f>
        <v>10</v>
      </c>
      <c r="J273" s="224" t="n">
        <f aca="false">K273</f>
        <v>1</v>
      </c>
      <c r="K273" s="225" t="n">
        <f aca="false">_xlfn.IFNA(IF(B273&gt;=$K$11, 1,0),0)</f>
        <v>1</v>
      </c>
      <c r="L273" s="60" t="str">
        <f aca="false">IF(I273=0,1,"")</f>
        <v/>
      </c>
      <c r="P273" s="4" t="n">
        <f aca="false">IF(AND(G273&gt;E273, A273&lt;&gt;0, V273&lt;&gt;0), $N$5 * ($P$22 ^ V273 - 1), 0)</f>
        <v>0</v>
      </c>
      <c r="V273" s="71" t="n">
        <f aca="false">IF(B273&lt;EDATE($K$11,12), 0,  DATEDIF(EDATE($K$11,12), B273 + 1, "y") + 1 )</f>
        <v>16</v>
      </c>
    </row>
    <row r="274" customFormat="false" ht="12.75" hidden="false" customHeight="true" outlineLevel="0" collapsed="false">
      <c r="A274" s="228" t="n">
        <f aca="false">IF(OR(G273="",G273&lt;=0,C273&gt;150),NA(),A273+1)</f>
        <v>246</v>
      </c>
      <c r="B274" s="229" t="n">
        <f aca="false">IF(ISERROR(A274),"",IF($D$9="Annually",EDATE(B273,12),EDATE(B273,1)))</f>
        <v>53779</v>
      </c>
      <c r="C274" s="230" t="n">
        <f aca="false">IF(ISERROR(A274),"",C273+IF($D$9="Monthly",1/12,1))</f>
        <v>81.5499999999991</v>
      </c>
      <c r="D274" s="231" t="n">
        <f aca="false">IF(L273&lt;&gt;1, IF(G273&lt;E273,0,D273),IF(L273=1,IFERROR(ROUND(IF($G273 - (E273 * 6) &lt; 0, D273, ($G273 - (E273 * 6)) * $D$8 / 12),2),0) ) )</f>
        <v>17.29</v>
      </c>
      <c r="E274" s="231" t="n">
        <f aca="false">IF(ISERROR(A274), 0,  MAX(0,   MIN(    ROUND(G273 + D274, 2),    ROUND(FV($S$5, IF(type=1, A274, A273), , IF(J274&lt;&gt;1, -$D$20, -$P$16 + P274), 2), 0)   )  ) )</f>
        <v>28</v>
      </c>
      <c r="F274" s="231" t="n">
        <f aca="false">IF(J274&lt;&gt;1, "", IF(J273&lt;&gt;0, F273, $K$12))</f>
        <v>1</v>
      </c>
      <c r="G274" s="232" t="n">
        <f aca="false">IF(ISERROR(A274),"",ROUND(G273-E274+D274,2))</f>
        <v>4286.54</v>
      </c>
      <c r="H274" s="237" t="n">
        <f aca="false">IF(G274&gt;0,IFERROR(H273+(H273*($D$16/12)),""),"")</f>
        <v>27.719283987784</v>
      </c>
      <c r="I274" s="223" t="n">
        <f aca="false">IF(ISERROR(A275),"",12 - MONTH(B274))</f>
        <v>9</v>
      </c>
      <c r="J274" s="224" t="n">
        <f aca="false">K274</f>
        <v>1</v>
      </c>
      <c r="K274" s="225" t="n">
        <f aca="false">_xlfn.IFNA(IF(B274&gt;=$K$11, 1,0),0)</f>
        <v>1</v>
      </c>
      <c r="L274" s="60" t="str">
        <f aca="false">IF(I274=0,1,"")</f>
        <v/>
      </c>
      <c r="P274" s="4" t="n">
        <f aca="false">IF(AND(G274&gt;E274, A274&lt;&gt;0, V274&lt;&gt;0), $N$5 * ($P$22 ^ V274 - 1), 0)</f>
        <v>0</v>
      </c>
      <c r="V274" s="71" t="n">
        <f aca="false">IF(B274&lt;EDATE($K$11,12), 0,  DATEDIF(EDATE($K$11,12), B274 + 1, "y") + 1 )</f>
        <v>16</v>
      </c>
    </row>
    <row r="275" customFormat="false" ht="12.75" hidden="false" customHeight="true" outlineLevel="0" collapsed="false">
      <c r="A275" s="228" t="n">
        <f aca="false">IF(OR(G274="",G274&lt;=0,C274&gt;150),NA(),A274+1)</f>
        <v>247</v>
      </c>
      <c r="B275" s="229" t="n">
        <f aca="false">IF(ISERROR(A275),"",IF($D$9="Annually",EDATE(B274,12),EDATE(B274,1)))</f>
        <v>53810</v>
      </c>
      <c r="C275" s="230" t="n">
        <f aca="false">IF(ISERROR(A275),"",C274+IF($D$9="Monthly",1/12,1))</f>
        <v>81.6333333333324</v>
      </c>
      <c r="D275" s="231" t="n">
        <f aca="false">IF(L274&lt;&gt;1, IF(G274&lt;E274,0,D274),IF(L274=1,IFERROR(ROUND(IF($G274 - (E274 * 6) &lt; 0, D274, ($G274 - (E274 * 6)) * $D$8 / 12),2),0) ) )</f>
        <v>17.29</v>
      </c>
      <c r="E275" s="231" t="n">
        <f aca="false">IF(ISERROR(A275), 0,  MAX(0,   MIN(    ROUND(G274 + D275, 2),    ROUND(FV($S$5, IF(type=1, A275, A274), , IF(J275&lt;&gt;1, -$D$20, -$P$16 + P275), 2), 0)   )  ) )</f>
        <v>28</v>
      </c>
      <c r="F275" s="231" t="n">
        <f aca="false">IF(J275&lt;&gt;1, "", IF(J274&lt;&gt;0, F274, $K$12))</f>
        <v>1</v>
      </c>
      <c r="G275" s="232" t="n">
        <f aca="false">IF(ISERROR(A275),"",ROUND(G274-E275+D275,2))</f>
        <v>4275.83</v>
      </c>
      <c r="H275" s="237" t="n">
        <f aca="false">IF(G275&gt;0,IFERROR(H274+(H274*($D$16/12)),""),"")</f>
        <v>27.7654827944303</v>
      </c>
      <c r="I275" s="223" t="n">
        <f aca="false">IF(ISERROR(A276),"",12 - MONTH(B275))</f>
        <v>8</v>
      </c>
      <c r="J275" s="224" t="n">
        <f aca="false">K275</f>
        <v>1</v>
      </c>
      <c r="K275" s="225" t="n">
        <f aca="false">_xlfn.IFNA(IF(B275&gt;=$K$11, 1,0),0)</f>
        <v>1</v>
      </c>
      <c r="L275" s="60" t="str">
        <f aca="false">IF(I275=0,1,"")</f>
        <v/>
      </c>
      <c r="P275" s="4" t="n">
        <f aca="false">IF(AND(G275&gt;E275, A275&lt;&gt;0, V275&lt;&gt;0), $N$5 * ($P$22 ^ V275 - 1), 0)</f>
        <v>0</v>
      </c>
      <c r="V275" s="71" t="n">
        <f aca="false">IF(B275&lt;EDATE($K$11,12), 0,  DATEDIF(EDATE($K$11,12), B275 + 1, "y") + 1 )</f>
        <v>16</v>
      </c>
    </row>
    <row r="276" customFormat="false" ht="12.75" hidden="false" customHeight="true" outlineLevel="0" collapsed="false">
      <c r="A276" s="228" t="n">
        <f aca="false">IF(OR(G275="",G275&lt;=0,C275&gt;150),NA(),A275+1)</f>
        <v>248</v>
      </c>
      <c r="B276" s="229" t="n">
        <f aca="false">IF(ISERROR(A276),"",IF($D$9="Annually",EDATE(B275,12),EDATE(B275,1)))</f>
        <v>53840</v>
      </c>
      <c r="C276" s="230" t="n">
        <f aca="false">IF(ISERROR(A276),"",C275+IF($D$9="Monthly",1/12,1))</f>
        <v>81.7166666666657</v>
      </c>
      <c r="D276" s="231" t="n">
        <f aca="false">IF(L275&lt;&gt;1, IF(G275&lt;E275,0,D275),IF(L275=1,IFERROR(ROUND(IF($G275 - (E275 * 6) &lt; 0, D275, ($G275 - (E275 * 6)) * $D$8 / 12),2),0) ) )</f>
        <v>17.29</v>
      </c>
      <c r="E276" s="231" t="n">
        <f aca="false">IF(ISERROR(A276), 0,  MAX(0,   MIN(    ROUND(G275 + D276, 2),    ROUND(FV($S$5, IF(type=1, A276, A275), , IF(J276&lt;&gt;1, -$D$20, -$P$16 + P276), 2), 0)   )  ) )</f>
        <v>28</v>
      </c>
      <c r="F276" s="231" t="n">
        <f aca="false">IF(J276&lt;&gt;1, "", IF(J275&lt;&gt;0, F275, $K$12))</f>
        <v>1</v>
      </c>
      <c r="G276" s="232" t="n">
        <f aca="false">IF(ISERROR(A276),"",ROUND(G275-E276+D276,2))</f>
        <v>4265.12</v>
      </c>
      <c r="H276" s="237" t="n">
        <f aca="false">IF(G276&gt;0,IFERROR(H275+(H275*($D$16/12)),""),"")</f>
        <v>27.8117585990877</v>
      </c>
      <c r="I276" s="223" t="n">
        <f aca="false">IF(ISERROR(A277),"",12 - MONTH(B276))</f>
        <v>7</v>
      </c>
      <c r="J276" s="224" t="n">
        <f aca="false">K276</f>
        <v>1</v>
      </c>
      <c r="K276" s="225" t="n">
        <f aca="false">_xlfn.IFNA(IF(B276&gt;=$K$11, 1,0),0)</f>
        <v>1</v>
      </c>
      <c r="L276" s="60" t="str">
        <f aca="false">IF(I276=0,1,"")</f>
        <v/>
      </c>
      <c r="P276" s="4" t="n">
        <f aca="false">IF(AND(G276&gt;E276, A276&lt;&gt;0, V276&lt;&gt;0), $N$5 * ($P$22 ^ V276 - 1), 0)</f>
        <v>0</v>
      </c>
      <c r="V276" s="71" t="n">
        <f aca="false">IF(B276&lt;EDATE($K$11,12), 0,  DATEDIF(EDATE($K$11,12), B276 + 1, "y") + 1 )</f>
        <v>16</v>
      </c>
    </row>
    <row r="277" customFormat="false" ht="12.75" hidden="false" customHeight="true" outlineLevel="0" collapsed="false">
      <c r="A277" s="228" t="n">
        <f aca="false">IF(OR(G276="",G276&lt;=0,C276&gt;150),NA(),A276+1)</f>
        <v>249</v>
      </c>
      <c r="B277" s="229" t="n">
        <f aca="false">IF(ISERROR(A277),"",IF($D$9="Annually",EDATE(B276,12),EDATE(B276,1)))</f>
        <v>53871</v>
      </c>
      <c r="C277" s="230" t="n">
        <f aca="false">IF(ISERROR(A277),"",C276+IF($D$9="Monthly",1/12,1))</f>
        <v>81.7999999999991</v>
      </c>
      <c r="D277" s="231" t="n">
        <f aca="false">IF(L276&lt;&gt;1, IF(G276&lt;E276,0,D276),IF(L276=1,IFERROR(ROUND(IF($G276 - (E276 * 6) &lt; 0, D276, ($G276 - (E276 * 6)) * $D$8 / 12),2),0) ) )</f>
        <v>17.29</v>
      </c>
      <c r="E277" s="231" t="n">
        <f aca="false">IF(ISERROR(A277), 0,  MAX(0,   MIN(    ROUND(G276 + D277, 2),    ROUND(FV($S$5, IF(type=1, A277, A276), , IF(J277&lt;&gt;1, -$D$20, -$P$16 + P277), 2), 0)   )  ) )</f>
        <v>28</v>
      </c>
      <c r="F277" s="231" t="n">
        <f aca="false">IF(J277&lt;&gt;1, "", IF(J276&lt;&gt;0, F276, $K$12))</f>
        <v>1</v>
      </c>
      <c r="G277" s="232" t="n">
        <f aca="false">IF(ISERROR(A277),"",ROUND(G276-E277+D277,2))</f>
        <v>4254.41</v>
      </c>
      <c r="H277" s="237" t="n">
        <f aca="false">IF(G277&gt;0,IFERROR(H276+(H276*($D$16/12)),""),"")</f>
        <v>27.8581115300862</v>
      </c>
      <c r="I277" s="223" t="n">
        <f aca="false">IF(ISERROR(A278),"",12 - MONTH(B277))</f>
        <v>6</v>
      </c>
      <c r="J277" s="224" t="n">
        <f aca="false">K277</f>
        <v>1</v>
      </c>
      <c r="K277" s="225" t="n">
        <f aca="false">_xlfn.IFNA(IF(B277&gt;=$K$11, 1,0),0)</f>
        <v>1</v>
      </c>
      <c r="L277" s="60" t="str">
        <f aca="false">IF(I277=0,1,"")</f>
        <v/>
      </c>
      <c r="P277" s="4" t="n">
        <f aca="false">IF(AND(G277&gt;E277, A277&lt;&gt;0, V277&lt;&gt;0), $N$5 * ($P$22 ^ V277 - 1), 0)</f>
        <v>0</v>
      </c>
      <c r="V277" s="71" t="n">
        <f aca="false">IF(B277&lt;EDATE($K$11,12), 0,  DATEDIF(EDATE($K$11,12), B277 + 1, "y") + 1 )</f>
        <v>16</v>
      </c>
    </row>
    <row r="278" customFormat="false" ht="12.75" hidden="false" customHeight="true" outlineLevel="0" collapsed="false">
      <c r="A278" s="228" t="n">
        <f aca="false">IF(OR(G277="",G277&lt;=0,C277&gt;150),NA(),A277+1)</f>
        <v>250</v>
      </c>
      <c r="B278" s="229" t="n">
        <f aca="false">IF(ISERROR(A278),"",IF($D$9="Annually",EDATE(B277,12),EDATE(B277,1)))</f>
        <v>53901</v>
      </c>
      <c r="C278" s="230" t="n">
        <f aca="false">IF(ISERROR(A278),"",C277+IF($D$9="Monthly",1/12,1))</f>
        <v>81.8833333333324</v>
      </c>
      <c r="D278" s="231" t="n">
        <f aca="false">IF(L277&lt;&gt;1, IF(G277&lt;E277,0,D277),IF(L277=1,IFERROR(ROUND(IF($G277 - (E277 * 6) &lt; 0, D277, ($G277 - (E277 * 6)) * $D$8 / 12),2),0) ) )</f>
        <v>17.29</v>
      </c>
      <c r="E278" s="231" t="n">
        <f aca="false">IF(ISERROR(A278), 0,  MAX(0,   MIN(    ROUND(G277 + D278, 2),    ROUND(FV($S$5, IF(type=1, A278, A277), , IF(J278&lt;&gt;1, -$D$20, -$P$16 + P278), 2), 0)   )  ) )</f>
        <v>28</v>
      </c>
      <c r="F278" s="231" t="n">
        <f aca="false">IF(J278&lt;&gt;1, "", IF(J277&lt;&gt;0, F277, $K$12))</f>
        <v>1</v>
      </c>
      <c r="G278" s="232" t="n">
        <f aca="false">IF(ISERROR(A278),"",ROUND(G277-E278+D278,2))</f>
        <v>4243.7</v>
      </c>
      <c r="H278" s="237" t="n">
        <f aca="false">IF(G278&gt;0,IFERROR(H277+(H277*($D$16/12)),""),"")</f>
        <v>27.9045417159697</v>
      </c>
      <c r="I278" s="223" t="n">
        <f aca="false">IF(ISERROR(A279),"",12 - MONTH(B278))</f>
        <v>5</v>
      </c>
      <c r="J278" s="224" t="n">
        <f aca="false">K278</f>
        <v>1</v>
      </c>
      <c r="K278" s="225" t="n">
        <f aca="false">_xlfn.IFNA(IF(B278&gt;=$K$11, 1,0),0)</f>
        <v>1</v>
      </c>
      <c r="L278" s="60" t="str">
        <f aca="false">IF(I278=0,1,"")</f>
        <v/>
      </c>
      <c r="P278" s="4" t="n">
        <f aca="false">IF(AND(G278&gt;E278, A278&lt;&gt;0, V278&lt;&gt;0), $N$5 * ($P$22 ^ V278 - 1), 0)</f>
        <v>0</v>
      </c>
      <c r="V278" s="71" t="n">
        <f aca="false">IF(B278&lt;EDATE($K$11,12), 0,  DATEDIF(EDATE($K$11,12), B278 + 1, "y") + 1 )</f>
        <v>16</v>
      </c>
    </row>
    <row r="279" customFormat="false" ht="12.75" hidden="false" customHeight="true" outlineLevel="0" collapsed="false">
      <c r="A279" s="228" t="n">
        <f aca="false">IF(OR(G278="",G278&lt;=0,C278&gt;150),NA(),A278+1)</f>
        <v>251</v>
      </c>
      <c r="B279" s="229" t="n">
        <f aca="false">IF(ISERROR(A279),"",IF($D$9="Annually",EDATE(B278,12),EDATE(B278,1)))</f>
        <v>53932</v>
      </c>
      <c r="C279" s="230" t="n">
        <f aca="false">IF(ISERROR(A279),"",C278+IF($D$9="Monthly",1/12,1))</f>
        <v>81.9666666666657</v>
      </c>
      <c r="D279" s="231" t="n">
        <f aca="false">IF(L278&lt;&gt;1, IF(G278&lt;E278,0,D278),IF(L278=1,IFERROR(ROUND(IF($G278 - (E278 * 6) &lt; 0, D278, ($G278 - (E278 * 6)) * $D$8 / 12),2),0) ) )</f>
        <v>17.29</v>
      </c>
      <c r="E279" s="231" t="n">
        <f aca="false">IF(ISERROR(A279), 0,  MAX(0,   MIN(    ROUND(G278 + D279, 2),    ROUND(FV($S$5, IF(type=1, A279, A278), , IF(J279&lt;&gt;1, -$D$20, -$P$16 + P279), 2), 0)   )  ) )</f>
        <v>28</v>
      </c>
      <c r="F279" s="231" t="n">
        <f aca="false">IF(J279&lt;&gt;1, "", IF(J278&lt;&gt;0, F278, $K$12))</f>
        <v>1</v>
      </c>
      <c r="G279" s="232" t="n">
        <f aca="false">IF(ISERROR(A279),"",ROUND(G278-E279+D279,2))</f>
        <v>4232.99</v>
      </c>
      <c r="H279" s="237" t="n">
        <f aca="false">IF(G279&gt;0,IFERROR(H278+(H278*($D$16/12)),""),"")</f>
        <v>27.9510492854963</v>
      </c>
      <c r="I279" s="223" t="n">
        <f aca="false">IF(ISERROR(A280),"",12 - MONTH(B279))</f>
        <v>4</v>
      </c>
      <c r="J279" s="224" t="n">
        <f aca="false">K279</f>
        <v>1</v>
      </c>
      <c r="K279" s="225" t="n">
        <f aca="false">_xlfn.IFNA(IF(B279&gt;=$K$11, 1,0),0)</f>
        <v>1</v>
      </c>
      <c r="L279" s="60" t="str">
        <f aca="false">IF(I279=0,1,"")</f>
        <v/>
      </c>
      <c r="P279" s="4" t="n">
        <f aca="false">IF(AND(G279&gt;E279, A279&lt;&gt;0, V279&lt;&gt;0), $N$5 * ($P$22 ^ V279 - 1), 0)</f>
        <v>0</v>
      </c>
      <c r="V279" s="71" t="n">
        <f aca="false">IF(B279&lt;EDATE($K$11,12), 0,  DATEDIF(EDATE($K$11,12), B279 + 1, "y") + 1 )</f>
        <v>16</v>
      </c>
    </row>
    <row r="280" customFormat="false" ht="12.75" hidden="false" customHeight="true" outlineLevel="0" collapsed="false">
      <c r="A280" s="228" t="n">
        <f aca="false">IF(OR(G279="",G279&lt;=0,C279&gt;150),NA(),A279+1)</f>
        <v>252</v>
      </c>
      <c r="B280" s="229" t="n">
        <f aca="false">IF(ISERROR(A280),"",IF($D$9="Annually",EDATE(B279,12),EDATE(B279,1)))</f>
        <v>53963</v>
      </c>
      <c r="C280" s="230" t="n">
        <f aca="false">IF(ISERROR(A280),"",C279+IF($D$9="Monthly",1/12,1))</f>
        <v>82.0499999999991</v>
      </c>
      <c r="D280" s="231" t="n">
        <f aca="false">IF(L279&lt;&gt;1, IF(G279&lt;E279,0,D279),IF(L279=1,IFERROR(ROUND(IF($G279 - (E279 * 6) &lt; 0, D279, ($G279 - (E279 * 6)) * $D$8 / 12),2),0) ) )</f>
        <v>17.29</v>
      </c>
      <c r="E280" s="231" t="n">
        <f aca="false">IF(ISERROR(A280), 0,  MAX(0,   MIN(    ROUND(G279 + D280, 2),    ROUND(FV($S$5, IF(type=1, A280, A279), , IF(J280&lt;&gt;1, -$D$20, -$P$16 + P280), 2), 0)   )  ) )</f>
        <v>29</v>
      </c>
      <c r="F280" s="231" t="n">
        <f aca="false">IF(J280&lt;&gt;1, "", IF(J279&lt;&gt;0, F279, $K$12))</f>
        <v>1</v>
      </c>
      <c r="G280" s="232" t="n">
        <f aca="false">IF(ISERROR(A280),"",ROUND(G279-E280+D280,2))</f>
        <v>4221.28</v>
      </c>
      <c r="H280" s="237" t="n">
        <f aca="false">IF(G280&gt;0,IFERROR(H279+(H279*($D$16/12)),""),"")</f>
        <v>27.9976343676388</v>
      </c>
      <c r="I280" s="223" t="n">
        <f aca="false">IF(ISERROR(A281),"",12 - MONTH(B280))</f>
        <v>3</v>
      </c>
      <c r="J280" s="224" t="n">
        <f aca="false">K280</f>
        <v>1</v>
      </c>
      <c r="K280" s="225" t="n">
        <f aca="false">_xlfn.IFNA(IF(B280&gt;=$K$11, 1,0),0)</f>
        <v>1</v>
      </c>
      <c r="L280" s="60" t="str">
        <f aca="false">IF(I280=0,1,"")</f>
        <v/>
      </c>
      <c r="P280" s="4" t="n">
        <f aca="false">IF(AND(G280&gt;E280, A280&lt;&gt;0, V280&lt;&gt;0), $N$5 * ($P$22 ^ V280 - 1), 0)</f>
        <v>0</v>
      </c>
      <c r="V280" s="71" t="n">
        <f aca="false">IF(B280&lt;EDATE($K$11,12), 0,  DATEDIF(EDATE($K$11,12), B280 + 1, "y") + 1 )</f>
        <v>16</v>
      </c>
    </row>
    <row r="281" customFormat="false" ht="12.75" hidden="false" customHeight="true" outlineLevel="0" collapsed="false">
      <c r="A281" s="228" t="n">
        <f aca="false">IF(OR(G280="",G280&lt;=0,C280&gt;150),NA(),A280+1)</f>
        <v>253</v>
      </c>
      <c r="B281" s="229" t="n">
        <f aca="false">IF(ISERROR(A281),"",IF($D$9="Annually",EDATE(B280,12),EDATE(B280,1)))</f>
        <v>53993</v>
      </c>
      <c r="C281" s="230" t="n">
        <f aca="false">IF(ISERROR(A281),"",C280+IF($D$9="Monthly",1/12,1))</f>
        <v>82.1333333333324</v>
      </c>
      <c r="D281" s="231" t="n">
        <f aca="false">IF(L280&lt;&gt;1, IF(G280&lt;E280,0,D280),IF(L280=1,IFERROR(ROUND(IF($G280 - (E280 * 6) &lt; 0, D280, ($G280 - (E280 * 6)) * $D$8 / 12),2),0) ) )</f>
        <v>17.29</v>
      </c>
      <c r="E281" s="231" t="n">
        <f aca="false">IF(ISERROR(A281), 0,  MAX(0,   MIN(    ROUND(G280 + D281, 2),    ROUND(FV($S$5, IF(type=1, A281, A280), , IF(J281&lt;&gt;1, -$D$20, -$P$16 + P281), 2), 0)   )  ) )</f>
        <v>29</v>
      </c>
      <c r="F281" s="231" t="n">
        <f aca="false">IF(J281&lt;&gt;1, "", IF(J280&lt;&gt;0, F280, $K$12))</f>
        <v>1</v>
      </c>
      <c r="G281" s="232" t="n">
        <f aca="false">IF(ISERROR(A281),"",ROUND(G280-E281+D281,2))</f>
        <v>4209.57</v>
      </c>
      <c r="H281" s="237" t="n">
        <f aca="false">IF(G281&gt;0,IFERROR(H280+(H280*($D$16/12)),""),"")</f>
        <v>28.0442970915848</v>
      </c>
      <c r="I281" s="223" t="n">
        <f aca="false">IF(ISERROR(A282),"",12 - MONTH(B281))</f>
        <v>2</v>
      </c>
      <c r="J281" s="224" t="n">
        <f aca="false">K281</f>
        <v>1</v>
      </c>
      <c r="K281" s="225" t="n">
        <f aca="false">_xlfn.IFNA(IF(B281&gt;=$K$11, 1,0),0)</f>
        <v>1</v>
      </c>
      <c r="L281" s="60" t="str">
        <f aca="false">IF(I281=0,1,"")</f>
        <v/>
      </c>
      <c r="P281" s="4" t="n">
        <f aca="false">IF(AND(G281&gt;E281, A281&lt;&gt;0, V281&lt;&gt;0), $N$5 * ($P$22 ^ V281 - 1), 0)</f>
        <v>0</v>
      </c>
      <c r="V281" s="71" t="n">
        <f aca="false">IF(B281&lt;EDATE($K$11,12), 0,  DATEDIF(EDATE($K$11,12), B281 + 1, "y") + 1 )</f>
        <v>16</v>
      </c>
    </row>
    <row r="282" customFormat="false" ht="12.75" hidden="false" customHeight="true" outlineLevel="0" collapsed="false">
      <c r="A282" s="228" t="n">
        <f aca="false">IF(OR(G281="",G281&lt;=0,C281&gt;150),NA(),A281+1)</f>
        <v>254</v>
      </c>
      <c r="B282" s="229" t="n">
        <f aca="false">IF(ISERROR(A282),"",IF($D$9="Annually",EDATE(B281,12),EDATE(B281,1)))</f>
        <v>54024</v>
      </c>
      <c r="C282" s="230" t="n">
        <f aca="false">IF(ISERROR(A282),"",C281+IF($D$9="Monthly",1/12,1))</f>
        <v>82.2166666666657</v>
      </c>
      <c r="D282" s="231" t="n">
        <f aca="false">IF(L281&lt;&gt;1, IF(G281&lt;E281,0,D281),IF(L281=1,IFERROR(ROUND(IF($G281 - (E281 * 6) &lt; 0, D281, ($G281 - (E281 * 6)) * $D$8 / 12),2),0) ) )</f>
        <v>17.29</v>
      </c>
      <c r="E282" s="231" t="n">
        <f aca="false">IF(ISERROR(A282), 0,  MAX(0,   MIN(    ROUND(G281 + D282, 2),    ROUND(FV($S$5, IF(type=1, A282, A281), , IF(J282&lt;&gt;1, -$D$20, -$P$16 + P282), 2), 0)   )  ) )</f>
        <v>29</v>
      </c>
      <c r="F282" s="231" t="n">
        <f aca="false">IF(J282&lt;&gt;1, "", IF(J281&lt;&gt;0, F281, $K$12))</f>
        <v>1</v>
      </c>
      <c r="G282" s="232" t="n">
        <f aca="false">IF(ISERROR(A282),"",ROUND(G281-E282+D282,2))</f>
        <v>4197.86</v>
      </c>
      <c r="H282" s="237" t="n">
        <f aca="false">IF(G282&gt;0,IFERROR(H281+(H281*($D$16/12)),""),"")</f>
        <v>28.0910375867375</v>
      </c>
      <c r="I282" s="223" t="n">
        <f aca="false">IF(ISERROR(A283),"",12 - MONTH(B282))</f>
        <v>1</v>
      </c>
      <c r="J282" s="224" t="n">
        <f aca="false">K282</f>
        <v>1</v>
      </c>
      <c r="K282" s="225" t="n">
        <f aca="false">_xlfn.IFNA(IF(B282&gt;=$K$11, 1,0),0)</f>
        <v>1</v>
      </c>
      <c r="L282" s="60" t="str">
        <f aca="false">IF(I282=0,1,"")</f>
        <v/>
      </c>
      <c r="P282" s="4" t="n">
        <f aca="false">IF(AND(G282&gt;E282, A282&lt;&gt;0, V282&lt;&gt;0), $N$5 * ($P$22 ^ V282 - 1), 0)</f>
        <v>0</v>
      </c>
      <c r="V282" s="71" t="n">
        <f aca="false">IF(B282&lt;EDATE($K$11,12), 0,  DATEDIF(EDATE($K$11,12), B282 + 1, "y") + 1 )</f>
        <v>16</v>
      </c>
    </row>
    <row r="283" customFormat="false" ht="12.75" hidden="false" customHeight="true" outlineLevel="0" collapsed="false">
      <c r="A283" s="228" t="n">
        <f aca="false">IF(OR(G282="",G282&lt;=0,C282&gt;150),NA(),A282+1)</f>
        <v>255</v>
      </c>
      <c r="B283" s="229" t="n">
        <f aca="false">IF(ISERROR(A283),"",IF($D$9="Annually",EDATE(B282,12),EDATE(B282,1)))</f>
        <v>54054</v>
      </c>
      <c r="C283" s="230" t="n">
        <f aca="false">IF(ISERROR(A283),"",C282+IF($D$9="Monthly",1/12,1))</f>
        <v>82.2999999999991</v>
      </c>
      <c r="D283" s="231" t="n">
        <f aca="false">IF(L282&lt;&gt;1, IF(G282&lt;E282,0,D282),IF(L282=1,IFERROR(ROUND(IF($G282 - (E282 * 6) &lt; 0, D282, ($G282 - (E282 * 6)) * $D$8 / 12),2),0) ) )</f>
        <v>17.29</v>
      </c>
      <c r="E283" s="231" t="n">
        <f aca="false">IF(ISERROR(A283), 0,  MAX(0,   MIN(    ROUND(G282 + D283, 2),    ROUND(FV($S$5, IF(type=1, A283, A282), , IF(J283&lt;&gt;1, -$D$20, -$P$16 + P283), 2), 0)   )  ) )</f>
        <v>29</v>
      </c>
      <c r="F283" s="231" t="n">
        <f aca="false">IF(J283&lt;&gt;1, "", IF(J282&lt;&gt;0, F282, $K$12))</f>
        <v>1</v>
      </c>
      <c r="G283" s="232" t="n">
        <f aca="false">IF(ISERROR(A283),"",ROUND(G282-E283+D283,2))</f>
        <v>4186.15</v>
      </c>
      <c r="H283" s="237" t="n">
        <f aca="false">IF(G283&gt;0,IFERROR(H282+(H282*($D$16/12)),""),"")</f>
        <v>28.1378559827154</v>
      </c>
      <c r="I283" s="223" t="n">
        <f aca="false">IF(ISERROR(A284),"",12 - MONTH(B283))</f>
        <v>0</v>
      </c>
      <c r="J283" s="224" t="n">
        <f aca="false">K283</f>
        <v>1</v>
      </c>
      <c r="K283" s="225" t="n">
        <f aca="false">_xlfn.IFNA(IF(B283&gt;=$K$11, 1,0),0)</f>
        <v>1</v>
      </c>
      <c r="L283" s="60" t="n">
        <f aca="false">IF(I283=0,1,"")</f>
        <v>1</v>
      </c>
      <c r="P283" s="4" t="n">
        <f aca="false">IF(AND(G283&gt;E283, A283&lt;&gt;0, V283&lt;&gt;0), $N$5 * ($P$22 ^ V283 - 1), 0)</f>
        <v>0</v>
      </c>
      <c r="V283" s="71" t="n">
        <f aca="false">IF(B283&lt;EDATE($K$11,12), 0,  DATEDIF(EDATE($K$11,12), B283 + 1, "y") + 1 )</f>
        <v>16</v>
      </c>
    </row>
    <row r="284" customFormat="false" ht="12.75" hidden="false" customHeight="true" outlineLevel="0" collapsed="false">
      <c r="A284" s="228" t="n">
        <f aca="false">IF(OR(G283="",G283&lt;=0,C283&gt;150),NA(),A283+1)</f>
        <v>256</v>
      </c>
      <c r="B284" s="229" t="n">
        <f aca="false">IF(ISERROR(A284),"",IF($D$9="Annually",EDATE(B283,12),EDATE(B283,1)))</f>
        <v>54085</v>
      </c>
      <c r="C284" s="230" t="n">
        <f aca="false">IF(ISERROR(A284),"",C283+IF($D$9="Monthly",1/12,1))</f>
        <v>82.3833333333324</v>
      </c>
      <c r="D284" s="231" t="n">
        <f aca="false">IF(L283&lt;&gt;1, IF(G283&lt;E283,0,D283),IF(L283=1,IFERROR(ROUND(IF($G283 - (E283 * 6) &lt; 0, D283, ($G283 - (E283 * 6)) * $D$8 / 12),2),0) ) )</f>
        <v>16.72</v>
      </c>
      <c r="E284" s="231" t="n">
        <f aca="false">IF(ISERROR(A284), 0,  MAX(0,   MIN(    ROUND(G283 + D284, 2),    ROUND(FV($S$5, IF(type=1, A284, A283), , IF(J284&lt;&gt;1, -$D$20, -$P$16 + P284), 2), 0)   )  ) )</f>
        <v>29</v>
      </c>
      <c r="F284" s="231" t="n">
        <f aca="false">IF(J284&lt;&gt;1, "", IF(J283&lt;&gt;0, F283, $K$12))</f>
        <v>1</v>
      </c>
      <c r="G284" s="232" t="n">
        <f aca="false">IF(ISERROR(A284),"",ROUND(G283-E284+D284,2))</f>
        <v>4173.87</v>
      </c>
      <c r="H284" s="237" t="n">
        <f aca="false">IF(G284&gt;0,IFERROR(H283+(H283*($D$16/12)),""),"")</f>
        <v>28.1847524093532</v>
      </c>
      <c r="I284" s="223" t="n">
        <f aca="false">IF(ISERROR(A285),"",12 - MONTH(B284))</f>
        <v>11</v>
      </c>
      <c r="J284" s="224" t="n">
        <f aca="false">K284</f>
        <v>1</v>
      </c>
      <c r="K284" s="225" t="n">
        <f aca="false">_xlfn.IFNA(IF(B284&gt;=$K$11, 1,0),0)</f>
        <v>1</v>
      </c>
      <c r="L284" s="60" t="str">
        <f aca="false">IF(I284=0,1,"")</f>
        <v/>
      </c>
      <c r="P284" s="4" t="n">
        <f aca="false">IF(AND(G284&gt;E284, A284&lt;&gt;0, V284&lt;&gt;0), $N$5 * ($P$22 ^ V284 - 1), 0)</f>
        <v>0</v>
      </c>
      <c r="V284" s="71" t="n">
        <f aca="false">IF(B284&lt;EDATE($K$11,12), 0,  DATEDIF(EDATE($K$11,12), B284 + 1, "y") + 1 )</f>
        <v>17</v>
      </c>
    </row>
    <row r="285" customFormat="false" ht="12.75" hidden="false" customHeight="true" outlineLevel="0" collapsed="false">
      <c r="A285" s="228" t="n">
        <f aca="false">IF(OR(G284="",G284&lt;=0,C284&gt;150),NA(),A284+1)</f>
        <v>257</v>
      </c>
      <c r="B285" s="229" t="n">
        <f aca="false">IF(ISERROR(A285),"",IF($D$9="Annually",EDATE(B284,12),EDATE(B284,1)))</f>
        <v>54116</v>
      </c>
      <c r="C285" s="230" t="n">
        <f aca="false">IF(ISERROR(A285),"",C284+IF($D$9="Monthly",1/12,1))</f>
        <v>82.4666666666657</v>
      </c>
      <c r="D285" s="231" t="n">
        <f aca="false">IF(L284&lt;&gt;1, IF(G284&lt;E284,0,D284),IF(L284=1,IFERROR(ROUND(IF($G284 - (E284 * 6) &lt; 0, D284, ($G284 - (E284 * 6)) * $D$8 / 12),2),0) ) )</f>
        <v>16.72</v>
      </c>
      <c r="E285" s="231" t="n">
        <f aca="false">IF(ISERROR(A285), 0,  MAX(0,   MIN(    ROUND(G284 + D285, 2),    ROUND(FV($S$5, IF(type=1, A285, A284), , IF(J285&lt;&gt;1, -$D$20, -$P$16 + P285), 2), 0)   )  ) )</f>
        <v>29</v>
      </c>
      <c r="F285" s="231" t="n">
        <f aca="false">IF(J285&lt;&gt;1, "", IF(J284&lt;&gt;0, F284, $K$12))</f>
        <v>1</v>
      </c>
      <c r="G285" s="232" t="n">
        <f aca="false">IF(ISERROR(A285),"",ROUND(G284-E285+D285,2))</f>
        <v>4161.59</v>
      </c>
      <c r="H285" s="237" t="n">
        <f aca="false">IF(G285&gt;0,IFERROR(H284+(H284*($D$16/12)),""),"")</f>
        <v>28.2317269967022</v>
      </c>
      <c r="I285" s="223" t="n">
        <f aca="false">IF(ISERROR(A286),"",12 - MONTH(B285))</f>
        <v>10</v>
      </c>
      <c r="J285" s="224" t="n">
        <f aca="false">K285</f>
        <v>1</v>
      </c>
      <c r="K285" s="225" t="n">
        <f aca="false">_xlfn.IFNA(IF(B285&gt;=$K$11, 1,0),0)</f>
        <v>1</v>
      </c>
      <c r="L285" s="60" t="str">
        <f aca="false">IF(I285=0,1,"")</f>
        <v/>
      </c>
      <c r="P285" s="4" t="n">
        <f aca="false">IF(AND(G285&gt;E285, A285&lt;&gt;0, V285&lt;&gt;0), $N$5 * ($P$22 ^ V285 - 1), 0)</f>
        <v>0</v>
      </c>
      <c r="V285" s="71" t="n">
        <f aca="false">IF(B285&lt;EDATE($K$11,12), 0,  DATEDIF(EDATE($K$11,12), B285 + 1, "y") + 1 )</f>
        <v>17</v>
      </c>
    </row>
    <row r="286" customFormat="false" ht="12.75" hidden="false" customHeight="true" outlineLevel="0" collapsed="false">
      <c r="A286" s="228" t="n">
        <f aca="false">IF(OR(G285="",G285&lt;=0,C285&gt;150),NA(),A285+1)</f>
        <v>258</v>
      </c>
      <c r="B286" s="229" t="n">
        <f aca="false">IF(ISERROR(A286),"",IF($D$9="Annually",EDATE(B285,12),EDATE(B285,1)))</f>
        <v>54145</v>
      </c>
      <c r="C286" s="230" t="n">
        <f aca="false">IF(ISERROR(A286),"",C285+IF($D$9="Monthly",1/12,1))</f>
        <v>82.549999999999</v>
      </c>
      <c r="D286" s="231" t="n">
        <f aca="false">IF(L285&lt;&gt;1, IF(G285&lt;E285,0,D285),IF(L285=1,IFERROR(ROUND(IF($G285 - (E285 * 6) &lt; 0, D285, ($G285 - (E285 * 6)) * $D$8 / 12),2),0) ) )</f>
        <v>16.72</v>
      </c>
      <c r="E286" s="231" t="n">
        <f aca="false">IF(ISERROR(A286), 0,  MAX(0,   MIN(    ROUND(G285 + D286, 2),    ROUND(FV($S$5, IF(type=1, A286, A285), , IF(J286&lt;&gt;1, -$D$20, -$P$16 + P286), 2), 0)   )  ) )</f>
        <v>29</v>
      </c>
      <c r="F286" s="231" t="n">
        <f aca="false">IF(J286&lt;&gt;1, "", IF(J285&lt;&gt;0, F285, $K$12))</f>
        <v>1</v>
      </c>
      <c r="G286" s="232" t="n">
        <f aca="false">IF(ISERROR(A286),"",ROUND(G285-E286+D286,2))</f>
        <v>4149.31</v>
      </c>
      <c r="H286" s="237" t="n">
        <f aca="false">IF(G286&gt;0,IFERROR(H285+(H285*($D$16/12)),""),"")</f>
        <v>28.27877987503</v>
      </c>
      <c r="I286" s="223" t="n">
        <f aca="false">IF(ISERROR(A287),"",12 - MONTH(B286))</f>
        <v>9</v>
      </c>
      <c r="J286" s="224" t="n">
        <f aca="false">K286</f>
        <v>1</v>
      </c>
      <c r="K286" s="225" t="n">
        <f aca="false">_xlfn.IFNA(IF(B286&gt;=$K$11, 1,0),0)</f>
        <v>1</v>
      </c>
      <c r="L286" s="60" t="str">
        <f aca="false">IF(I286=0,1,"")</f>
        <v/>
      </c>
      <c r="P286" s="4" t="n">
        <f aca="false">IF(AND(G286&gt;E286, A286&lt;&gt;0, V286&lt;&gt;0), $N$5 * ($P$22 ^ V286 - 1), 0)</f>
        <v>0</v>
      </c>
      <c r="V286" s="71" t="n">
        <f aca="false">IF(B286&lt;EDATE($K$11,12), 0,  DATEDIF(EDATE($K$11,12), B286 + 1, "y") + 1 )</f>
        <v>17</v>
      </c>
    </row>
    <row r="287" customFormat="false" ht="12.75" hidden="false" customHeight="true" outlineLevel="0" collapsed="false">
      <c r="A287" s="228" t="n">
        <f aca="false">IF(OR(G286="",G286&lt;=0,C286&gt;150),NA(),A286+1)</f>
        <v>259</v>
      </c>
      <c r="B287" s="229" t="n">
        <f aca="false">IF(ISERROR(A287),"",IF($D$9="Annually",EDATE(B286,12),EDATE(B286,1)))</f>
        <v>54176</v>
      </c>
      <c r="C287" s="230" t="n">
        <f aca="false">IF(ISERROR(A287),"",C286+IF($D$9="Monthly",1/12,1))</f>
        <v>82.6333333333324</v>
      </c>
      <c r="D287" s="231" t="n">
        <f aca="false">IF(L286&lt;&gt;1, IF(G286&lt;E286,0,D286),IF(L286=1,IFERROR(ROUND(IF($G286 - (E286 * 6) &lt; 0, D286, ($G286 - (E286 * 6)) * $D$8 / 12),2),0) ) )</f>
        <v>16.72</v>
      </c>
      <c r="E287" s="231" t="n">
        <f aca="false">IF(ISERROR(A287), 0,  MAX(0,   MIN(    ROUND(G286 + D287, 2),    ROUND(FV($S$5, IF(type=1, A287, A286), , IF(J287&lt;&gt;1, -$D$20, -$P$16 + P287), 2), 0)   )  ) )</f>
        <v>29</v>
      </c>
      <c r="F287" s="231" t="n">
        <f aca="false">IF(J287&lt;&gt;1, "", IF(J286&lt;&gt;0, F286, $K$12))</f>
        <v>1</v>
      </c>
      <c r="G287" s="232" t="n">
        <f aca="false">IF(ISERROR(A287),"",ROUND(G286-E287+D287,2))</f>
        <v>4137.03</v>
      </c>
      <c r="H287" s="237" t="n">
        <f aca="false">IF(G287&gt;0,IFERROR(H286+(H286*($D$16/12)),""),"")</f>
        <v>28.3259111748217</v>
      </c>
      <c r="I287" s="223" t="n">
        <f aca="false">IF(ISERROR(A288),"",12 - MONTH(B287))</f>
        <v>8</v>
      </c>
      <c r="J287" s="224" t="n">
        <f aca="false">K287</f>
        <v>1</v>
      </c>
      <c r="K287" s="225" t="n">
        <f aca="false">_xlfn.IFNA(IF(B287&gt;=$K$11, 1,0),0)</f>
        <v>1</v>
      </c>
      <c r="L287" s="60" t="str">
        <f aca="false">IF(I287=0,1,"")</f>
        <v/>
      </c>
      <c r="P287" s="4" t="n">
        <f aca="false">IF(AND(G287&gt;E287, A287&lt;&gt;0, V287&lt;&gt;0), $N$5 * ($P$22 ^ V287 - 1), 0)</f>
        <v>0</v>
      </c>
      <c r="V287" s="71" t="n">
        <f aca="false">IF(B287&lt;EDATE($K$11,12), 0,  DATEDIF(EDATE($K$11,12), B287 + 1, "y") + 1 )</f>
        <v>17</v>
      </c>
    </row>
    <row r="288" customFormat="false" ht="12.75" hidden="false" customHeight="true" outlineLevel="0" collapsed="false">
      <c r="A288" s="228" t="n">
        <f aca="false">IF(OR(G287="",G287&lt;=0,C287&gt;150),NA(),A287+1)</f>
        <v>260</v>
      </c>
      <c r="B288" s="229" t="n">
        <f aca="false">IF(ISERROR(A288),"",IF($D$9="Annually",EDATE(B287,12),EDATE(B287,1)))</f>
        <v>54206</v>
      </c>
      <c r="C288" s="230" t="n">
        <f aca="false">IF(ISERROR(A288),"",C287+IF($D$9="Monthly",1/12,1))</f>
        <v>82.7166666666657</v>
      </c>
      <c r="D288" s="231" t="n">
        <f aca="false">IF(L287&lt;&gt;1, IF(G287&lt;E287,0,D287),IF(L287=1,IFERROR(ROUND(IF($G287 - (E287 * 6) &lt; 0, D287, ($G287 - (E287 * 6)) * $D$8 / 12),2),0) ) )</f>
        <v>16.72</v>
      </c>
      <c r="E288" s="231" t="n">
        <f aca="false">IF(ISERROR(A288), 0,  MAX(0,   MIN(    ROUND(G287 + D288, 2),    ROUND(FV($S$5, IF(type=1, A288, A287), , IF(J288&lt;&gt;1, -$D$20, -$P$16 + P288), 2), 0)   )  ) )</f>
        <v>29</v>
      </c>
      <c r="F288" s="231" t="n">
        <f aca="false">IF(J288&lt;&gt;1, "", IF(J287&lt;&gt;0, F287, $K$12))</f>
        <v>1</v>
      </c>
      <c r="G288" s="232" t="n">
        <f aca="false">IF(ISERROR(A288),"",ROUND(G287-E288+D288,2))</f>
        <v>4124.75</v>
      </c>
      <c r="H288" s="237" t="n">
        <f aca="false">IF(G288&gt;0,IFERROR(H287+(H287*($D$16/12)),""),"")</f>
        <v>28.3731210267797</v>
      </c>
      <c r="I288" s="223" t="n">
        <f aca="false">IF(ISERROR(A289),"",12 - MONTH(B288))</f>
        <v>7</v>
      </c>
      <c r="J288" s="224" t="n">
        <f aca="false">K288</f>
        <v>1</v>
      </c>
      <c r="K288" s="225" t="n">
        <f aca="false">_xlfn.IFNA(IF(B288&gt;=$K$11, 1,0),0)</f>
        <v>1</v>
      </c>
      <c r="L288" s="60" t="str">
        <f aca="false">IF(I288=0,1,"")</f>
        <v/>
      </c>
      <c r="P288" s="4" t="n">
        <f aca="false">IF(AND(G288&gt;E288, A288&lt;&gt;0, V288&lt;&gt;0), $N$5 * ($P$22 ^ V288 - 1), 0)</f>
        <v>0</v>
      </c>
      <c r="V288" s="71" t="n">
        <f aca="false">IF(B288&lt;EDATE($K$11,12), 0,  DATEDIF(EDATE($K$11,12), B288 + 1, "y") + 1 )</f>
        <v>17</v>
      </c>
    </row>
    <row r="289" customFormat="false" ht="12.75" hidden="false" customHeight="true" outlineLevel="0" collapsed="false">
      <c r="A289" s="228" t="n">
        <f aca="false">IF(OR(G288="",G288&lt;=0,C288&gt;150),NA(),A288+1)</f>
        <v>261</v>
      </c>
      <c r="B289" s="229" t="n">
        <f aca="false">IF(ISERROR(A289),"",IF($D$9="Annually",EDATE(B288,12),EDATE(B288,1)))</f>
        <v>54237</v>
      </c>
      <c r="C289" s="230" t="n">
        <f aca="false">IF(ISERROR(A289),"",C288+IF($D$9="Monthly",1/12,1))</f>
        <v>82.799999999999</v>
      </c>
      <c r="D289" s="231" t="n">
        <f aca="false">IF(L288&lt;&gt;1, IF(G288&lt;E288,0,D288),IF(L288=1,IFERROR(ROUND(IF($G288 - (E288 * 6) &lt; 0, D288, ($G288 - (E288 * 6)) * $D$8 / 12),2),0) ) )</f>
        <v>16.72</v>
      </c>
      <c r="E289" s="231" t="n">
        <f aca="false">IF(ISERROR(A289), 0,  MAX(0,   MIN(    ROUND(G288 + D289, 2),    ROUND(FV($S$5, IF(type=1, A289, A288), , IF(J289&lt;&gt;1, -$D$20, -$P$16 + P289), 2), 0)   )  ) )</f>
        <v>29</v>
      </c>
      <c r="F289" s="231" t="n">
        <f aca="false">IF(J289&lt;&gt;1, "", IF(J288&lt;&gt;0, F288, $K$12))</f>
        <v>1</v>
      </c>
      <c r="G289" s="232" t="n">
        <f aca="false">IF(ISERROR(A289),"",ROUND(G288-E289+D289,2))</f>
        <v>4112.47</v>
      </c>
      <c r="H289" s="237" t="n">
        <f aca="false">IF(G289&gt;0,IFERROR(H288+(H288*($D$16/12)),""),"")</f>
        <v>28.4204095618244</v>
      </c>
      <c r="I289" s="223" t="n">
        <f aca="false">IF(ISERROR(A290),"",12 - MONTH(B289))</f>
        <v>6</v>
      </c>
      <c r="J289" s="224" t="n">
        <f aca="false">K289</f>
        <v>1</v>
      </c>
      <c r="K289" s="225" t="n">
        <f aca="false">_xlfn.IFNA(IF(B289&gt;=$K$11, 1,0),0)</f>
        <v>1</v>
      </c>
      <c r="L289" s="60" t="str">
        <f aca="false">IF(I289=0,1,"")</f>
        <v/>
      </c>
      <c r="P289" s="4" t="n">
        <f aca="false">IF(AND(G289&gt;E289, A289&lt;&gt;0, V289&lt;&gt;0), $N$5 * ($P$22 ^ V289 - 1), 0)</f>
        <v>0</v>
      </c>
      <c r="V289" s="71" t="n">
        <f aca="false">IF(B289&lt;EDATE($K$11,12), 0,  DATEDIF(EDATE($K$11,12), B289 + 1, "y") + 1 )</f>
        <v>17</v>
      </c>
    </row>
    <row r="290" customFormat="false" ht="12.75" hidden="false" customHeight="true" outlineLevel="0" collapsed="false">
      <c r="A290" s="228" t="n">
        <f aca="false">IF(OR(G289="",G289&lt;=0,C289&gt;150),NA(),A289+1)</f>
        <v>262</v>
      </c>
      <c r="B290" s="229" t="n">
        <f aca="false">IF(ISERROR(A290),"",IF($D$9="Annually",EDATE(B289,12),EDATE(B289,1)))</f>
        <v>54267</v>
      </c>
      <c r="C290" s="230" t="n">
        <f aca="false">IF(ISERROR(A290),"",C289+IF($D$9="Monthly",1/12,1))</f>
        <v>82.8833333333324</v>
      </c>
      <c r="D290" s="231" t="n">
        <f aca="false">IF(L289&lt;&gt;1, IF(G289&lt;E289,0,D289),IF(L289=1,IFERROR(ROUND(IF($G289 - (E289 * 6) &lt; 0, D289, ($G289 - (E289 * 6)) * $D$8 / 12),2),0) ) )</f>
        <v>16.72</v>
      </c>
      <c r="E290" s="231" t="n">
        <f aca="false">IF(ISERROR(A290), 0,  MAX(0,   MIN(    ROUND(G289 + D290, 2),    ROUND(FV($S$5, IF(type=1, A290, A289), , IF(J290&lt;&gt;1, -$D$20, -$P$16 + P290), 2), 0)   )  ) )</f>
        <v>29</v>
      </c>
      <c r="F290" s="231" t="n">
        <f aca="false">IF(J290&lt;&gt;1, "", IF(J289&lt;&gt;0, F289, $K$12))</f>
        <v>1</v>
      </c>
      <c r="G290" s="232" t="n">
        <f aca="false">IF(ISERROR(A290),"",ROUND(G289-E290+D290,2))</f>
        <v>4100.19</v>
      </c>
      <c r="H290" s="237" t="n">
        <f aca="false">IF(G290&gt;0,IFERROR(H289+(H289*($D$16/12)),""),"")</f>
        <v>28.4677769110941</v>
      </c>
      <c r="I290" s="223" t="n">
        <f aca="false">IF(ISERROR(A291),"",12 - MONTH(B290))</f>
        <v>5</v>
      </c>
      <c r="J290" s="224" t="n">
        <f aca="false">K290</f>
        <v>1</v>
      </c>
      <c r="K290" s="225" t="n">
        <f aca="false">_xlfn.IFNA(IF(B290&gt;=$K$11, 1,0),0)</f>
        <v>1</v>
      </c>
      <c r="L290" s="60" t="str">
        <f aca="false">IF(I290=0,1,"")</f>
        <v/>
      </c>
      <c r="P290" s="4" t="n">
        <f aca="false">IF(AND(G290&gt;E290, A290&lt;&gt;0, V290&lt;&gt;0), $N$5 * ($P$22 ^ V290 - 1), 0)</f>
        <v>0</v>
      </c>
      <c r="V290" s="71" t="n">
        <f aca="false">IF(B290&lt;EDATE($K$11,12), 0,  DATEDIF(EDATE($K$11,12), B290 + 1, "y") + 1 )</f>
        <v>17</v>
      </c>
    </row>
    <row r="291" customFormat="false" ht="12.75" hidden="false" customHeight="true" outlineLevel="0" collapsed="false">
      <c r="A291" s="228" t="n">
        <f aca="false">IF(OR(G290="",G290&lt;=0,C290&gt;150),NA(),A290+1)</f>
        <v>263</v>
      </c>
      <c r="B291" s="229" t="n">
        <f aca="false">IF(ISERROR(A291),"",IF($D$9="Annually",EDATE(B290,12),EDATE(B290,1)))</f>
        <v>54298</v>
      </c>
      <c r="C291" s="230" t="n">
        <f aca="false">IF(ISERROR(A291),"",C290+IF($D$9="Monthly",1/12,1))</f>
        <v>82.9666666666657</v>
      </c>
      <c r="D291" s="231" t="n">
        <f aca="false">IF(L290&lt;&gt;1, IF(G290&lt;E290,0,D290),IF(L290=1,IFERROR(ROUND(IF($G290 - (E290 * 6) &lt; 0, D290, ($G290 - (E290 * 6)) * $D$8 / 12),2),0) ) )</f>
        <v>16.72</v>
      </c>
      <c r="E291" s="231" t="n">
        <f aca="false">IF(ISERROR(A291), 0,  MAX(0,   MIN(    ROUND(G290 + D291, 2),    ROUND(FV($S$5, IF(type=1, A291, A290), , IF(J291&lt;&gt;1, -$D$20, -$P$16 + P291), 2), 0)   )  ) )</f>
        <v>29</v>
      </c>
      <c r="F291" s="231" t="n">
        <f aca="false">IF(J291&lt;&gt;1, "", IF(J290&lt;&gt;0, F290, $K$12))</f>
        <v>1</v>
      </c>
      <c r="G291" s="232" t="n">
        <f aca="false">IF(ISERROR(A291),"",ROUND(G290-E291+D291,2))</f>
        <v>4087.91</v>
      </c>
      <c r="H291" s="237" t="n">
        <f aca="false">IF(G291&gt;0,IFERROR(H290+(H290*($D$16/12)),""),"")</f>
        <v>28.5152232059459</v>
      </c>
      <c r="I291" s="223" t="n">
        <f aca="false">IF(ISERROR(A292),"",12 - MONTH(B291))</f>
        <v>4</v>
      </c>
      <c r="J291" s="224" t="n">
        <f aca="false">K291</f>
        <v>1</v>
      </c>
      <c r="K291" s="225" t="n">
        <f aca="false">_xlfn.IFNA(IF(B291&gt;=$K$11, 1,0),0)</f>
        <v>1</v>
      </c>
      <c r="L291" s="60" t="str">
        <f aca="false">IF(I291=0,1,"")</f>
        <v/>
      </c>
      <c r="P291" s="4" t="n">
        <f aca="false">IF(AND(G291&gt;E291, A291&lt;&gt;0, V291&lt;&gt;0), $N$5 * ($P$22 ^ V291 - 1), 0)</f>
        <v>0</v>
      </c>
      <c r="V291" s="71" t="n">
        <f aca="false">IF(B291&lt;EDATE($K$11,12), 0,  DATEDIF(EDATE($K$11,12), B291 + 1, "y") + 1 )</f>
        <v>17</v>
      </c>
    </row>
    <row r="292" customFormat="false" ht="12.75" hidden="false" customHeight="true" outlineLevel="0" collapsed="false">
      <c r="A292" s="228" t="n">
        <f aca="false">IF(OR(G291="",G291&lt;=0,C291&gt;150),NA(),A291+1)</f>
        <v>264</v>
      </c>
      <c r="B292" s="229" t="n">
        <f aca="false">IF(ISERROR(A292),"",IF($D$9="Annually",EDATE(B291,12),EDATE(B291,1)))</f>
        <v>54329</v>
      </c>
      <c r="C292" s="230" t="n">
        <f aca="false">IF(ISERROR(A292),"",C291+IF($D$9="Monthly",1/12,1))</f>
        <v>83.049999999999</v>
      </c>
      <c r="D292" s="231" t="n">
        <f aca="false">IF(L291&lt;&gt;1, IF(G291&lt;E291,0,D291),IF(L291=1,IFERROR(ROUND(IF($G291 - (E291 * 6) &lt; 0, D291, ($G291 - (E291 * 6)) * $D$8 / 12),2),0) ) )</f>
        <v>16.72</v>
      </c>
      <c r="E292" s="231" t="n">
        <f aca="false">IF(ISERROR(A292), 0,  MAX(0,   MIN(    ROUND(G291 + D292, 2),    ROUND(FV($S$5, IF(type=1, A292, A291), , IF(J292&lt;&gt;1, -$D$20, -$P$16 + P292), 2), 0)   )  ) )</f>
        <v>29</v>
      </c>
      <c r="F292" s="231" t="n">
        <f aca="false">IF(J292&lt;&gt;1, "", IF(J291&lt;&gt;0, F291, $K$12))</f>
        <v>1</v>
      </c>
      <c r="G292" s="232" t="n">
        <f aca="false">IF(ISERROR(A292),"",ROUND(G291-E292+D292,2))</f>
        <v>4075.63</v>
      </c>
      <c r="H292" s="237" t="n">
        <f aca="false">IF(G292&gt;0,IFERROR(H291+(H291*($D$16/12)),""),"")</f>
        <v>28.5627485779558</v>
      </c>
      <c r="I292" s="223" t="n">
        <f aca="false">IF(ISERROR(A293),"",12 - MONTH(B292))</f>
        <v>3</v>
      </c>
      <c r="J292" s="224" t="n">
        <f aca="false">K292</f>
        <v>1</v>
      </c>
      <c r="K292" s="225" t="n">
        <f aca="false">_xlfn.IFNA(IF(B292&gt;=$K$11, 1,0),0)</f>
        <v>1</v>
      </c>
      <c r="L292" s="60" t="str">
        <f aca="false">IF(I292=0,1,"")</f>
        <v/>
      </c>
      <c r="P292" s="4" t="n">
        <f aca="false">IF(AND(G292&gt;E292, A292&lt;&gt;0, V292&lt;&gt;0), $N$5 * ($P$22 ^ V292 - 1), 0)</f>
        <v>0</v>
      </c>
      <c r="V292" s="71" t="n">
        <f aca="false">IF(B292&lt;EDATE($K$11,12), 0,  DATEDIF(EDATE($K$11,12), B292 + 1, "y") + 1 )</f>
        <v>17</v>
      </c>
    </row>
    <row r="293" customFormat="false" ht="12.75" hidden="false" customHeight="true" outlineLevel="0" collapsed="false">
      <c r="A293" s="228" t="n">
        <f aca="false">IF(OR(G292="",G292&lt;=0,C292&gt;150),NA(),A292+1)</f>
        <v>265</v>
      </c>
      <c r="B293" s="229" t="n">
        <f aca="false">IF(ISERROR(A293),"",IF($D$9="Annually",EDATE(B292,12),EDATE(B292,1)))</f>
        <v>54359</v>
      </c>
      <c r="C293" s="230" t="n">
        <f aca="false">IF(ISERROR(A293),"",C292+IF($D$9="Monthly",1/12,1))</f>
        <v>83.1333333333323</v>
      </c>
      <c r="D293" s="231" t="n">
        <f aca="false">IF(L292&lt;&gt;1, IF(G292&lt;E292,0,D292),IF(L292=1,IFERROR(ROUND(IF($G292 - (E292 * 6) &lt; 0, D292, ($G292 - (E292 * 6)) * $D$8 / 12),2),0) ) )</f>
        <v>16.72</v>
      </c>
      <c r="E293" s="231" t="n">
        <f aca="false">IF(ISERROR(A293), 0,  MAX(0,   MIN(    ROUND(G292 + D293, 2),    ROUND(FV($S$5, IF(type=1, A293, A292), , IF(J293&lt;&gt;1, -$D$20, -$P$16 + P293), 2), 0)   )  ) )</f>
        <v>29</v>
      </c>
      <c r="F293" s="231" t="n">
        <f aca="false">IF(J293&lt;&gt;1, "", IF(J292&lt;&gt;0, F292, $K$12))</f>
        <v>1</v>
      </c>
      <c r="G293" s="232" t="n">
        <f aca="false">IF(ISERROR(A293),"",ROUND(G292-E293+D293,2))</f>
        <v>4063.35</v>
      </c>
      <c r="H293" s="237" t="n">
        <f aca="false">IF(G293&gt;0,IFERROR(H292+(H292*($D$16/12)),""),"")</f>
        <v>28.6103531589191</v>
      </c>
      <c r="I293" s="223" t="n">
        <f aca="false">IF(ISERROR(A294),"",12 - MONTH(B293))</f>
        <v>2</v>
      </c>
      <c r="J293" s="224" t="n">
        <f aca="false">K293</f>
        <v>1</v>
      </c>
      <c r="K293" s="225" t="n">
        <f aca="false">_xlfn.IFNA(IF(B293&gt;=$K$11, 1,0),0)</f>
        <v>1</v>
      </c>
      <c r="L293" s="60" t="str">
        <f aca="false">IF(I293=0,1,"")</f>
        <v/>
      </c>
      <c r="P293" s="4" t="n">
        <f aca="false">IF(AND(G293&gt;E293, A293&lt;&gt;0, V293&lt;&gt;0), $N$5 * ($P$22 ^ V293 - 1), 0)</f>
        <v>0</v>
      </c>
      <c r="V293" s="71" t="n">
        <f aca="false">IF(B293&lt;EDATE($K$11,12), 0,  DATEDIF(EDATE($K$11,12), B293 + 1, "y") + 1 )</f>
        <v>17</v>
      </c>
    </row>
    <row r="294" customFormat="false" ht="12.75" hidden="false" customHeight="true" outlineLevel="0" collapsed="false">
      <c r="A294" s="228" t="n">
        <f aca="false">IF(OR(G293="",G293&lt;=0,C293&gt;150),NA(),A293+1)</f>
        <v>266</v>
      </c>
      <c r="B294" s="229" t="n">
        <f aca="false">IF(ISERROR(A294),"",IF($D$9="Annually",EDATE(B293,12),EDATE(B293,1)))</f>
        <v>54390</v>
      </c>
      <c r="C294" s="230" t="n">
        <f aca="false">IF(ISERROR(A294),"",C293+IF($D$9="Monthly",1/12,1))</f>
        <v>83.2166666666657</v>
      </c>
      <c r="D294" s="231" t="n">
        <f aca="false">IF(L293&lt;&gt;1, IF(G293&lt;E293,0,D293),IF(L293=1,IFERROR(ROUND(IF($G293 - (E293 * 6) &lt; 0, D293, ($G293 - (E293 * 6)) * $D$8 / 12),2),0) ) )</f>
        <v>16.72</v>
      </c>
      <c r="E294" s="231" t="n">
        <f aca="false">IF(ISERROR(A294), 0,  MAX(0,   MIN(    ROUND(G293 + D294, 2),    ROUND(FV($S$5, IF(type=1, A294, A293), , IF(J294&lt;&gt;1, -$D$20, -$P$16 + P294), 2), 0)   )  ) )</f>
        <v>29</v>
      </c>
      <c r="F294" s="231" t="n">
        <f aca="false">IF(J294&lt;&gt;1, "", IF(J293&lt;&gt;0, F293, $K$12))</f>
        <v>1</v>
      </c>
      <c r="G294" s="232" t="n">
        <f aca="false">IF(ISERROR(A294),"",ROUND(G293-E294+D294,2))</f>
        <v>4051.07</v>
      </c>
      <c r="H294" s="237" t="n">
        <f aca="false">IF(G294&gt;0,IFERROR(H293+(H293*($D$16/12)),""),"")</f>
        <v>28.6580370808506</v>
      </c>
      <c r="I294" s="223" t="n">
        <f aca="false">IF(ISERROR(A295),"",12 - MONTH(B294))</f>
        <v>1</v>
      </c>
      <c r="J294" s="224" t="n">
        <f aca="false">K294</f>
        <v>1</v>
      </c>
      <c r="K294" s="225" t="n">
        <f aca="false">_xlfn.IFNA(IF(B294&gt;=$K$11, 1,0),0)</f>
        <v>1</v>
      </c>
      <c r="L294" s="60" t="str">
        <f aca="false">IF(I294=0,1,"")</f>
        <v/>
      </c>
      <c r="P294" s="4" t="n">
        <f aca="false">IF(AND(G294&gt;E294, A294&lt;&gt;0, V294&lt;&gt;0), $N$5 * ($P$22 ^ V294 - 1), 0)</f>
        <v>0</v>
      </c>
      <c r="V294" s="71" t="n">
        <f aca="false">IF(B294&lt;EDATE($K$11,12), 0,  DATEDIF(EDATE($K$11,12), B294 + 1, "y") + 1 )</f>
        <v>17</v>
      </c>
    </row>
    <row r="295" customFormat="false" ht="12.75" hidden="false" customHeight="true" outlineLevel="0" collapsed="false">
      <c r="A295" s="228" t="n">
        <f aca="false">IF(OR(G294="",G294&lt;=0,C294&gt;150),NA(),A294+1)</f>
        <v>267</v>
      </c>
      <c r="B295" s="229" t="n">
        <f aca="false">IF(ISERROR(A295),"",IF($D$9="Annually",EDATE(B294,12),EDATE(B294,1)))</f>
        <v>54420</v>
      </c>
      <c r="C295" s="230" t="n">
        <f aca="false">IF(ISERROR(A295),"",C294+IF($D$9="Monthly",1/12,1))</f>
        <v>83.299999999999</v>
      </c>
      <c r="D295" s="231" t="n">
        <f aca="false">IF(L294&lt;&gt;1, IF(G294&lt;E294,0,D294),IF(L294=1,IFERROR(ROUND(IF($G294 - (E294 * 6) &lt; 0, D294, ($G294 - (E294 * 6)) * $D$8 / 12),2),0) ) )</f>
        <v>16.72</v>
      </c>
      <c r="E295" s="231" t="n">
        <f aca="false">IF(ISERROR(A295), 0,  MAX(0,   MIN(    ROUND(G294 + D295, 2),    ROUND(FV($S$5, IF(type=1, A295, A294), , IF(J295&lt;&gt;1, -$D$20, -$P$16 + P295), 2), 0)   )  ) )</f>
        <v>29</v>
      </c>
      <c r="F295" s="231" t="n">
        <f aca="false">IF(J295&lt;&gt;1, "", IF(J294&lt;&gt;0, F294, $K$12))</f>
        <v>1</v>
      </c>
      <c r="G295" s="232" t="n">
        <f aca="false">IF(ISERROR(A295),"",ROUND(G294-E295+D295,2))</f>
        <v>4038.79</v>
      </c>
      <c r="H295" s="237" t="n">
        <f aca="false">IF(G295&gt;0,IFERROR(H294+(H294*($D$16/12)),""),"")</f>
        <v>28.7058004759854</v>
      </c>
      <c r="I295" s="223" t="n">
        <f aca="false">IF(ISERROR(A296),"",12 - MONTH(B295))</f>
        <v>0</v>
      </c>
      <c r="J295" s="224" t="n">
        <f aca="false">K295</f>
        <v>1</v>
      </c>
      <c r="K295" s="225" t="n">
        <f aca="false">_xlfn.IFNA(IF(B295&gt;=$K$11, 1,0),0)</f>
        <v>1</v>
      </c>
      <c r="L295" s="60" t="n">
        <f aca="false">IF(I295=0,1,"")</f>
        <v>1</v>
      </c>
      <c r="P295" s="4" t="n">
        <f aca="false">IF(AND(G295&gt;E295, A295&lt;&gt;0, V295&lt;&gt;0), $N$5 * ($P$22 ^ V295 - 1), 0)</f>
        <v>0</v>
      </c>
      <c r="V295" s="71" t="n">
        <f aca="false">IF(B295&lt;EDATE($K$11,12), 0,  DATEDIF(EDATE($K$11,12), B295 + 1, "y") + 1 )</f>
        <v>17</v>
      </c>
    </row>
    <row r="296" customFormat="false" ht="12.75" hidden="false" customHeight="true" outlineLevel="0" collapsed="false">
      <c r="A296" s="228" t="n">
        <f aca="false">IF(OR(G295="",G295&lt;=0,C295&gt;150),NA(),A295+1)</f>
        <v>268</v>
      </c>
      <c r="B296" s="229" t="n">
        <f aca="false">IF(ISERROR(A296),"",IF($D$9="Annually",EDATE(B295,12),EDATE(B295,1)))</f>
        <v>54451</v>
      </c>
      <c r="C296" s="230" t="n">
        <f aca="false">IF(ISERROR(A296),"",C295+IF($D$9="Monthly",1/12,1))</f>
        <v>83.3833333333323</v>
      </c>
      <c r="D296" s="231" t="n">
        <f aca="false">IF(L295&lt;&gt;1, IF(G295&lt;E295,0,D295),IF(L295=1,IFERROR(ROUND(IF($G295 - (E295 * 6) &lt; 0, D295, ($G295 - (E295 * 6)) * $D$8 / 12),2),0) ) )</f>
        <v>16.1</v>
      </c>
      <c r="E296" s="231" t="n">
        <f aca="false">IF(ISERROR(A296), 0,  MAX(0,   MIN(    ROUND(G295 + D296, 2),    ROUND(FV($S$5, IF(type=1, A296, A295), , IF(J296&lt;&gt;1, -$D$20, -$P$16 + P296), 2), 0)   )  ) )</f>
        <v>29</v>
      </c>
      <c r="F296" s="231" t="n">
        <f aca="false">IF(J296&lt;&gt;1, "", IF(J295&lt;&gt;0, F295, $K$12))</f>
        <v>1</v>
      </c>
      <c r="G296" s="232" t="n">
        <f aca="false">IF(ISERROR(A296),"",ROUND(G295-E296+D296,2))</f>
        <v>4025.89</v>
      </c>
      <c r="H296" s="237" t="n">
        <f aca="false">IF(G296&gt;0,IFERROR(H295+(H295*($D$16/12)),""),"")</f>
        <v>28.7536434767787</v>
      </c>
      <c r="I296" s="223" t="n">
        <f aca="false">IF(ISERROR(A297),"",12 - MONTH(B296))</f>
        <v>11</v>
      </c>
      <c r="J296" s="224" t="n">
        <f aca="false">K296</f>
        <v>1</v>
      </c>
      <c r="K296" s="225" t="n">
        <f aca="false">_xlfn.IFNA(IF(B296&gt;=$K$11, 1,0),0)</f>
        <v>1</v>
      </c>
      <c r="L296" s="60" t="str">
        <f aca="false">IF(I296=0,1,"")</f>
        <v/>
      </c>
      <c r="P296" s="4" t="n">
        <f aca="false">IF(AND(G296&gt;E296, A296&lt;&gt;0, V296&lt;&gt;0), $N$5 * ($P$22 ^ V296 - 1), 0)</f>
        <v>0</v>
      </c>
      <c r="V296" s="71" t="n">
        <f aca="false">IF(B296&lt;EDATE($K$11,12), 0,  DATEDIF(EDATE($K$11,12), B296 + 1, "y") + 1 )</f>
        <v>18</v>
      </c>
    </row>
    <row r="297" customFormat="false" ht="12.75" hidden="false" customHeight="true" outlineLevel="0" collapsed="false">
      <c r="A297" s="228" t="n">
        <f aca="false">IF(OR(G296="",G296&lt;=0,C296&gt;150),NA(),A296+1)</f>
        <v>269</v>
      </c>
      <c r="B297" s="229" t="n">
        <f aca="false">IF(ISERROR(A297),"",IF($D$9="Annually",EDATE(B296,12),EDATE(B296,1)))</f>
        <v>54482</v>
      </c>
      <c r="C297" s="230" t="n">
        <f aca="false">IF(ISERROR(A297),"",C296+IF($D$9="Monthly",1/12,1))</f>
        <v>83.4666666666657</v>
      </c>
      <c r="D297" s="231" t="n">
        <f aca="false">IF(L296&lt;&gt;1, IF(G296&lt;E296,0,D296),IF(L296=1,IFERROR(ROUND(IF($G296 - (E296 * 6) &lt; 0, D296, ($G296 - (E296 * 6)) * $D$8 / 12),2),0) ) )</f>
        <v>16.1</v>
      </c>
      <c r="E297" s="231" t="n">
        <f aca="false">IF(ISERROR(A297), 0,  MAX(0,   MIN(    ROUND(G296 + D297, 2),    ROUND(FV($S$5, IF(type=1, A297, A296), , IF(J297&lt;&gt;1, -$D$20, -$P$16 + P297), 2), 0)   )  ) )</f>
        <v>29</v>
      </c>
      <c r="F297" s="231" t="n">
        <f aca="false">IF(J297&lt;&gt;1, "", IF(J296&lt;&gt;0, F296, $K$12))</f>
        <v>1</v>
      </c>
      <c r="G297" s="232" t="n">
        <f aca="false">IF(ISERROR(A297),"",ROUND(G296-E297+D297,2))</f>
        <v>4012.99</v>
      </c>
      <c r="H297" s="237" t="n">
        <f aca="false">IF(G297&gt;0,IFERROR(H296+(H296*($D$16/12)),""),"")</f>
        <v>28.8015662159066</v>
      </c>
      <c r="I297" s="223" t="n">
        <f aca="false">IF(ISERROR(A298),"",12 - MONTH(B297))</f>
        <v>10</v>
      </c>
      <c r="J297" s="224" t="n">
        <f aca="false">K297</f>
        <v>1</v>
      </c>
      <c r="K297" s="225" t="n">
        <f aca="false">_xlfn.IFNA(IF(B297&gt;=$K$11, 1,0),0)</f>
        <v>1</v>
      </c>
      <c r="L297" s="60" t="str">
        <f aca="false">IF(I297=0,1,"")</f>
        <v/>
      </c>
      <c r="P297" s="4" t="n">
        <f aca="false">IF(AND(G297&gt;E297, A297&lt;&gt;0, V297&lt;&gt;0), $N$5 * ($P$22 ^ V297 - 1), 0)</f>
        <v>0</v>
      </c>
      <c r="V297" s="71" t="n">
        <f aca="false">IF(B297&lt;EDATE($K$11,12), 0,  DATEDIF(EDATE($K$11,12), B297 + 1, "y") + 1 )</f>
        <v>18</v>
      </c>
    </row>
    <row r="298" customFormat="false" ht="12.75" hidden="false" customHeight="true" outlineLevel="0" collapsed="false">
      <c r="A298" s="228" t="n">
        <f aca="false">IF(OR(G297="",G297&lt;=0,C297&gt;150),NA(),A297+1)</f>
        <v>270</v>
      </c>
      <c r="B298" s="229" t="n">
        <f aca="false">IF(ISERROR(A298),"",IF($D$9="Annually",EDATE(B297,12),EDATE(B297,1)))</f>
        <v>54510</v>
      </c>
      <c r="C298" s="230" t="n">
        <f aca="false">IF(ISERROR(A298),"",C297+IF($D$9="Monthly",1/12,1))</f>
        <v>83.549999999999</v>
      </c>
      <c r="D298" s="231" t="n">
        <f aca="false">IF(L297&lt;&gt;1, IF(G297&lt;E297,0,D297),IF(L297=1,IFERROR(ROUND(IF($G297 - (E297 * 6) &lt; 0, D297, ($G297 - (E297 * 6)) * $D$8 / 12),2),0) ) )</f>
        <v>16.1</v>
      </c>
      <c r="E298" s="231" t="n">
        <f aca="false">IF(ISERROR(A298), 0,  MAX(0,   MIN(    ROUND(G297 + D298, 2),    ROUND(FV($S$5, IF(type=1, A298, A297), , IF(J298&lt;&gt;1, -$D$20, -$P$16 + P298), 2), 0)   )  ) )</f>
        <v>29</v>
      </c>
      <c r="F298" s="231" t="n">
        <f aca="false">IF(J298&lt;&gt;1, "", IF(J297&lt;&gt;0, F297, $K$12))</f>
        <v>1</v>
      </c>
      <c r="G298" s="232" t="n">
        <f aca="false">IF(ISERROR(A298),"",ROUND(G297-E298+D298,2))</f>
        <v>4000.09</v>
      </c>
      <c r="H298" s="237" t="n">
        <f aca="false">IF(G298&gt;0,IFERROR(H297+(H297*($D$16/12)),""),"")</f>
        <v>28.8495688262665</v>
      </c>
      <c r="I298" s="223" t="n">
        <f aca="false">IF(ISERROR(A299),"",12 - MONTH(B298))</f>
        <v>9</v>
      </c>
      <c r="J298" s="224" t="n">
        <f aca="false">K298</f>
        <v>1</v>
      </c>
      <c r="K298" s="225" t="n">
        <f aca="false">_xlfn.IFNA(IF(B298&gt;=$K$11, 1,0),0)</f>
        <v>1</v>
      </c>
      <c r="L298" s="60" t="str">
        <f aca="false">IF(I298=0,1,"")</f>
        <v/>
      </c>
      <c r="P298" s="4" t="n">
        <f aca="false">IF(AND(G298&gt;E298, A298&lt;&gt;0, V298&lt;&gt;0), $N$5 * ($P$22 ^ V298 - 1), 0)</f>
        <v>0</v>
      </c>
      <c r="V298" s="71" t="n">
        <f aca="false">IF(B298&lt;EDATE($K$11,12), 0,  DATEDIF(EDATE($K$11,12), B298 + 1, "y") + 1 )</f>
        <v>18</v>
      </c>
    </row>
    <row r="299" customFormat="false" ht="12.75" hidden="false" customHeight="true" outlineLevel="0" collapsed="false">
      <c r="A299" s="228" t="n">
        <f aca="false">IF(OR(G298="",G298&lt;=0,C298&gt;150),NA(),A298+1)</f>
        <v>271</v>
      </c>
      <c r="B299" s="229" t="n">
        <f aca="false">IF(ISERROR(A299),"",IF($D$9="Annually",EDATE(B298,12),EDATE(B298,1)))</f>
        <v>54541</v>
      </c>
      <c r="C299" s="230" t="n">
        <f aca="false">IF(ISERROR(A299),"",C298+IF($D$9="Monthly",1/12,1))</f>
        <v>83.6333333333323</v>
      </c>
      <c r="D299" s="231" t="n">
        <f aca="false">IF(L298&lt;&gt;1, IF(G298&lt;E298,0,D298),IF(L298=1,IFERROR(ROUND(IF($G298 - (E298 * 6) &lt; 0, D298, ($G298 - (E298 * 6)) * $D$8 / 12),2),0) ) )</f>
        <v>16.1</v>
      </c>
      <c r="E299" s="231" t="n">
        <f aca="false">IF(ISERROR(A299), 0,  MAX(0,   MIN(    ROUND(G298 + D299, 2),    ROUND(FV($S$5, IF(type=1, A299, A298), , IF(J299&lt;&gt;1, -$D$20, -$P$16 + P299), 2), 0)   )  ) )</f>
        <v>29</v>
      </c>
      <c r="F299" s="231" t="n">
        <f aca="false">IF(J299&lt;&gt;1, "", IF(J298&lt;&gt;0, F298, $K$12))</f>
        <v>1</v>
      </c>
      <c r="G299" s="232" t="n">
        <f aca="false">IF(ISERROR(A299),"",ROUND(G298-E299+D299,2))</f>
        <v>3987.19</v>
      </c>
      <c r="H299" s="237" t="n">
        <f aca="false">IF(G299&gt;0,IFERROR(H298+(H298*($D$16/12)),""),"")</f>
        <v>28.8976514409769</v>
      </c>
      <c r="I299" s="223" t="n">
        <f aca="false">IF(ISERROR(A300),"",12 - MONTH(B299))</f>
        <v>8</v>
      </c>
      <c r="J299" s="224" t="n">
        <f aca="false">K299</f>
        <v>1</v>
      </c>
      <c r="K299" s="225" t="n">
        <f aca="false">_xlfn.IFNA(IF(B299&gt;=$K$11, 1,0),0)</f>
        <v>1</v>
      </c>
      <c r="L299" s="60" t="str">
        <f aca="false">IF(I299=0,1,"")</f>
        <v/>
      </c>
      <c r="P299" s="4" t="n">
        <f aca="false">IF(AND(G299&gt;E299, A299&lt;&gt;0, V299&lt;&gt;0), $N$5 * ($P$22 ^ V299 - 1), 0)</f>
        <v>0</v>
      </c>
      <c r="V299" s="71" t="n">
        <f aca="false">IF(B299&lt;EDATE($K$11,12), 0,  DATEDIF(EDATE($K$11,12), B299 + 1, "y") + 1 )</f>
        <v>18</v>
      </c>
    </row>
    <row r="300" customFormat="false" ht="12.75" hidden="false" customHeight="true" outlineLevel="0" collapsed="false">
      <c r="A300" s="228" t="n">
        <f aca="false">IF(OR(G299="",G299&lt;=0,C299&gt;150),NA(),A299+1)</f>
        <v>272</v>
      </c>
      <c r="B300" s="229" t="n">
        <f aca="false">IF(ISERROR(A300),"",IF($D$9="Annually",EDATE(B299,12),EDATE(B299,1)))</f>
        <v>54571</v>
      </c>
      <c r="C300" s="230" t="n">
        <f aca="false">IF(ISERROR(A300),"",C299+IF($D$9="Monthly",1/12,1))</f>
        <v>83.7166666666656</v>
      </c>
      <c r="D300" s="231" t="n">
        <f aca="false">IF(L299&lt;&gt;1, IF(G299&lt;E299,0,D299),IF(L299=1,IFERROR(ROUND(IF($G299 - (E299 * 6) &lt; 0, D299, ($G299 - (E299 * 6)) * $D$8 / 12),2),0) ) )</f>
        <v>16.1</v>
      </c>
      <c r="E300" s="231" t="n">
        <f aca="false">IF(ISERROR(A300), 0,  MAX(0,   MIN(    ROUND(G299 + D300, 2),    ROUND(FV($S$5, IF(type=1, A300, A299), , IF(J300&lt;&gt;1, -$D$20, -$P$16 + P300), 2), 0)   )  ) )</f>
        <v>29</v>
      </c>
      <c r="F300" s="231" t="n">
        <f aca="false">IF(J300&lt;&gt;1, "", IF(J299&lt;&gt;0, F299, $K$12))</f>
        <v>1</v>
      </c>
      <c r="G300" s="232" t="n">
        <f aca="false">IF(ISERROR(A300),"",ROUND(G299-E300+D300,2))</f>
        <v>3974.29</v>
      </c>
      <c r="H300" s="237" t="n">
        <f aca="false">IF(G300&gt;0,IFERROR(H299+(H299*($D$16/12)),""),"")</f>
        <v>28.9458141933786</v>
      </c>
      <c r="I300" s="223" t="n">
        <f aca="false">IF(ISERROR(A301),"",12 - MONTH(B300))</f>
        <v>7</v>
      </c>
      <c r="J300" s="224" t="n">
        <f aca="false">K300</f>
        <v>1</v>
      </c>
      <c r="K300" s="225" t="n">
        <f aca="false">_xlfn.IFNA(IF(B300&gt;=$K$11, 1,0),0)</f>
        <v>1</v>
      </c>
      <c r="L300" s="60" t="str">
        <f aca="false">IF(I300=0,1,"")</f>
        <v/>
      </c>
      <c r="P300" s="4" t="n">
        <f aca="false">IF(AND(G300&gt;E300, A300&lt;&gt;0, V300&lt;&gt;0), $N$5 * ($P$22 ^ V300 - 1), 0)</f>
        <v>0</v>
      </c>
      <c r="V300" s="71" t="n">
        <f aca="false">IF(B300&lt;EDATE($K$11,12), 0,  DATEDIF(EDATE($K$11,12), B300 + 1, "y") + 1 )</f>
        <v>18</v>
      </c>
    </row>
    <row r="301" customFormat="false" ht="12.75" hidden="false" customHeight="true" outlineLevel="0" collapsed="false">
      <c r="A301" s="228" t="n">
        <f aca="false">IF(OR(G300="",G300&lt;=0,C300&gt;150),NA(),A300+1)</f>
        <v>273</v>
      </c>
      <c r="B301" s="229" t="n">
        <f aca="false">IF(ISERROR(A301),"",IF($D$9="Annually",EDATE(B300,12),EDATE(B300,1)))</f>
        <v>54602</v>
      </c>
      <c r="C301" s="230" t="n">
        <f aca="false">IF(ISERROR(A301),"",C300+IF($D$9="Monthly",1/12,1))</f>
        <v>83.799999999999</v>
      </c>
      <c r="D301" s="231" t="n">
        <f aca="false">IF(L300&lt;&gt;1, IF(G300&lt;E300,0,D300),IF(L300=1,IFERROR(ROUND(IF($G300 - (E300 * 6) &lt; 0, D300, ($G300 - (E300 * 6)) * $D$8 / 12),2),0) ) )</f>
        <v>16.1</v>
      </c>
      <c r="E301" s="231" t="n">
        <f aca="false">IF(ISERROR(A301), 0,  MAX(0,   MIN(    ROUND(G300 + D301, 2),    ROUND(FV($S$5, IF(type=1, A301, A300), , IF(J301&lt;&gt;1, -$D$20, -$P$16 + P301), 2), 0)   )  ) )</f>
        <v>30</v>
      </c>
      <c r="F301" s="231" t="n">
        <f aca="false">IF(J301&lt;&gt;1, "", IF(J300&lt;&gt;0, F300, $K$12))</f>
        <v>1</v>
      </c>
      <c r="G301" s="232" t="n">
        <f aca="false">IF(ISERROR(A301),"",ROUND(G300-E301+D301,2))</f>
        <v>3960.39</v>
      </c>
      <c r="H301" s="237" t="n">
        <f aca="false">IF(G301&gt;0,IFERROR(H300+(H300*($D$16/12)),""),"")</f>
        <v>28.9940572170342</v>
      </c>
      <c r="I301" s="223" t="n">
        <f aca="false">IF(ISERROR(A302),"",12 - MONTH(B301))</f>
        <v>6</v>
      </c>
      <c r="J301" s="224" t="n">
        <f aca="false">K301</f>
        <v>1</v>
      </c>
      <c r="K301" s="225" t="n">
        <f aca="false">_xlfn.IFNA(IF(B301&gt;=$K$11, 1,0),0)</f>
        <v>1</v>
      </c>
      <c r="L301" s="60" t="str">
        <f aca="false">IF(I301=0,1,"")</f>
        <v/>
      </c>
      <c r="P301" s="4" t="n">
        <f aca="false">IF(AND(G301&gt;E301, A301&lt;&gt;0, V301&lt;&gt;0), $N$5 * ($P$22 ^ V301 - 1), 0)</f>
        <v>0</v>
      </c>
      <c r="V301" s="71" t="n">
        <f aca="false">IF(B301&lt;EDATE($K$11,12), 0,  DATEDIF(EDATE($K$11,12), B301 + 1, "y") + 1 )</f>
        <v>18</v>
      </c>
    </row>
    <row r="302" customFormat="false" ht="12.75" hidden="false" customHeight="true" outlineLevel="0" collapsed="false">
      <c r="A302" s="228" t="n">
        <f aca="false">IF(OR(G301="",G301&lt;=0,C301&gt;150),NA(),A301+1)</f>
        <v>274</v>
      </c>
      <c r="B302" s="229" t="n">
        <f aca="false">IF(ISERROR(A302),"",IF($D$9="Annually",EDATE(B301,12),EDATE(B301,1)))</f>
        <v>54632</v>
      </c>
      <c r="C302" s="230" t="n">
        <f aca="false">IF(ISERROR(A302),"",C301+IF($D$9="Monthly",1/12,1))</f>
        <v>83.8833333333323</v>
      </c>
      <c r="D302" s="231" t="n">
        <f aca="false">IF(L301&lt;&gt;1, IF(G301&lt;E301,0,D301),IF(L301=1,IFERROR(ROUND(IF($G301 - (E301 * 6) &lt; 0, D301, ($G301 - (E301 * 6)) * $D$8 / 12),2),0) ) )</f>
        <v>16.1</v>
      </c>
      <c r="E302" s="231" t="n">
        <f aca="false">IF(ISERROR(A302), 0,  MAX(0,   MIN(    ROUND(G301 + D302, 2),    ROUND(FV($S$5, IF(type=1, A302, A301), , IF(J302&lt;&gt;1, -$D$20, -$P$16 + P302), 2), 0)   )  ) )</f>
        <v>30</v>
      </c>
      <c r="F302" s="231" t="n">
        <f aca="false">IF(J302&lt;&gt;1, "", IF(J301&lt;&gt;0, F301, $K$12))</f>
        <v>1</v>
      </c>
      <c r="G302" s="232" t="n">
        <f aca="false">IF(ISERROR(A302),"",ROUND(G301-E302+D302,2))</f>
        <v>3946.49</v>
      </c>
      <c r="H302" s="237" t="n">
        <f aca="false">IF(G302&gt;0,IFERROR(H301+(H301*($D$16/12)),""),"")</f>
        <v>29.0423806457292</v>
      </c>
      <c r="I302" s="223" t="n">
        <f aca="false">IF(ISERROR(A303),"",12 - MONTH(B302))</f>
        <v>5</v>
      </c>
      <c r="J302" s="224" t="n">
        <f aca="false">K302</f>
        <v>1</v>
      </c>
      <c r="K302" s="225" t="n">
        <f aca="false">_xlfn.IFNA(IF(B302&gt;=$K$11, 1,0),0)</f>
        <v>1</v>
      </c>
      <c r="L302" s="60" t="str">
        <f aca="false">IF(I302=0,1,"")</f>
        <v/>
      </c>
      <c r="P302" s="4" t="n">
        <f aca="false">IF(AND(G302&gt;E302, A302&lt;&gt;0, V302&lt;&gt;0), $N$5 * ($P$22 ^ V302 - 1), 0)</f>
        <v>0</v>
      </c>
      <c r="V302" s="71" t="n">
        <f aca="false">IF(B302&lt;EDATE($K$11,12), 0,  DATEDIF(EDATE($K$11,12), B302 + 1, "y") + 1 )</f>
        <v>18</v>
      </c>
    </row>
    <row r="303" customFormat="false" ht="12.75" hidden="false" customHeight="true" outlineLevel="0" collapsed="false">
      <c r="A303" s="228" t="n">
        <f aca="false">IF(OR(G302="",G302&lt;=0,C302&gt;150),NA(),A302+1)</f>
        <v>275</v>
      </c>
      <c r="B303" s="229" t="n">
        <f aca="false">IF(ISERROR(A303),"",IF($D$9="Annually",EDATE(B302,12),EDATE(B302,1)))</f>
        <v>54663</v>
      </c>
      <c r="C303" s="230" t="n">
        <f aca="false">IF(ISERROR(A303),"",C302+IF($D$9="Monthly",1/12,1))</f>
        <v>83.9666666666656</v>
      </c>
      <c r="D303" s="231" t="n">
        <f aca="false">IF(L302&lt;&gt;1, IF(G302&lt;E302,0,D302),IF(L302=1,IFERROR(ROUND(IF($G302 - (E302 * 6) &lt; 0, D302, ($G302 - (E302 * 6)) * $D$8 / 12),2),0) ) )</f>
        <v>16.1</v>
      </c>
      <c r="E303" s="231" t="n">
        <f aca="false">IF(ISERROR(A303), 0,  MAX(0,   MIN(    ROUND(G302 + D303, 2),    ROUND(FV($S$5, IF(type=1, A303, A302), , IF(J303&lt;&gt;1, -$D$20, -$P$16 + P303), 2), 0)   )  ) )</f>
        <v>30</v>
      </c>
      <c r="F303" s="231" t="n">
        <f aca="false">IF(J303&lt;&gt;1, "", IF(J302&lt;&gt;0, F302, $K$12))</f>
        <v>1</v>
      </c>
      <c r="G303" s="232" t="n">
        <f aca="false">IF(ISERROR(A303),"",ROUND(G302-E303+D303,2))</f>
        <v>3932.59</v>
      </c>
      <c r="H303" s="237" t="n">
        <f aca="false">IF(G303&gt;0,IFERROR(H302+(H302*($D$16/12)),""),"")</f>
        <v>29.0907846134721</v>
      </c>
      <c r="I303" s="223" t="n">
        <f aca="false">IF(ISERROR(A304),"",12 - MONTH(B303))</f>
        <v>4</v>
      </c>
      <c r="J303" s="224" t="n">
        <f aca="false">K303</f>
        <v>1</v>
      </c>
      <c r="K303" s="225" t="n">
        <f aca="false">_xlfn.IFNA(IF(B303&gt;=$K$11, 1,0),0)</f>
        <v>1</v>
      </c>
      <c r="L303" s="60" t="str">
        <f aca="false">IF(I303=0,1,"")</f>
        <v/>
      </c>
      <c r="P303" s="4" t="n">
        <f aca="false">IF(AND(G303&gt;E303, A303&lt;&gt;0, V303&lt;&gt;0), $N$5 * ($P$22 ^ V303 - 1), 0)</f>
        <v>0</v>
      </c>
      <c r="V303" s="71" t="n">
        <f aca="false">IF(B303&lt;EDATE($K$11,12), 0,  DATEDIF(EDATE($K$11,12), B303 + 1, "y") + 1 )</f>
        <v>18</v>
      </c>
    </row>
    <row r="304" customFormat="false" ht="12.75" hidden="false" customHeight="true" outlineLevel="0" collapsed="false">
      <c r="A304" s="228" t="n">
        <f aca="false">IF(OR(G303="",G303&lt;=0,C303&gt;150),NA(),A303+1)</f>
        <v>276</v>
      </c>
      <c r="B304" s="229" t="n">
        <f aca="false">IF(ISERROR(A304),"",IF($D$9="Annually",EDATE(B303,12),EDATE(B303,1)))</f>
        <v>54694</v>
      </c>
      <c r="C304" s="230" t="n">
        <f aca="false">IF(ISERROR(A304),"",C303+IF($D$9="Monthly",1/12,1))</f>
        <v>84.049999999999</v>
      </c>
      <c r="D304" s="231" t="n">
        <f aca="false">IF(L303&lt;&gt;1, IF(G303&lt;E303,0,D303),IF(L303=1,IFERROR(ROUND(IF($G303 - (E303 * 6) &lt; 0, D303, ($G303 - (E303 * 6)) * $D$8 / 12),2),0) ) )</f>
        <v>16.1</v>
      </c>
      <c r="E304" s="231" t="n">
        <f aca="false">IF(ISERROR(A304), 0,  MAX(0,   MIN(    ROUND(G303 + D304, 2),    ROUND(FV($S$5, IF(type=1, A304, A303), , IF(J304&lt;&gt;1, -$D$20, -$P$16 + P304), 2), 0)   )  ) )</f>
        <v>30</v>
      </c>
      <c r="F304" s="231" t="n">
        <f aca="false">IF(J304&lt;&gt;1, "", IF(J303&lt;&gt;0, F303, $K$12))</f>
        <v>1</v>
      </c>
      <c r="G304" s="232" t="n">
        <f aca="false">IF(ISERROR(A304),"",ROUND(G303-E304+D304,2))</f>
        <v>3918.69</v>
      </c>
      <c r="H304" s="237" t="n">
        <f aca="false">IF(G304&gt;0,IFERROR(H303+(H303*($D$16/12)),""),"")</f>
        <v>29.1392692544946</v>
      </c>
      <c r="I304" s="223" t="n">
        <f aca="false">IF(ISERROR(A305),"",12 - MONTH(B304))</f>
        <v>3</v>
      </c>
      <c r="J304" s="224" t="n">
        <f aca="false">K304</f>
        <v>1</v>
      </c>
      <c r="K304" s="225" t="n">
        <f aca="false">_xlfn.IFNA(IF(B304&gt;=$K$11, 1,0),0)</f>
        <v>1</v>
      </c>
      <c r="L304" s="60" t="str">
        <f aca="false">IF(I304=0,1,"")</f>
        <v/>
      </c>
      <c r="P304" s="4" t="n">
        <f aca="false">IF(AND(G304&gt;E304, A304&lt;&gt;0, V304&lt;&gt;0), $N$5 * ($P$22 ^ V304 - 1), 0)</f>
        <v>0</v>
      </c>
      <c r="V304" s="71" t="n">
        <f aca="false">IF(B304&lt;EDATE($K$11,12), 0,  DATEDIF(EDATE($K$11,12), B304 + 1, "y") + 1 )</f>
        <v>18</v>
      </c>
    </row>
    <row r="305" customFormat="false" ht="12.75" hidden="false" customHeight="true" outlineLevel="0" collapsed="false">
      <c r="A305" s="228" t="n">
        <f aca="false">IF(OR(G304="",G304&lt;=0,C304&gt;150),NA(),A304+1)</f>
        <v>277</v>
      </c>
      <c r="B305" s="229" t="n">
        <f aca="false">IF(ISERROR(A305),"",IF($D$9="Annually",EDATE(B304,12),EDATE(B304,1)))</f>
        <v>54724</v>
      </c>
      <c r="C305" s="230" t="n">
        <f aca="false">IF(ISERROR(A305),"",C304+IF($D$9="Monthly",1/12,1))</f>
        <v>84.1333333333323</v>
      </c>
      <c r="D305" s="231" t="n">
        <f aca="false">IF(L304&lt;&gt;1, IF(G304&lt;E304,0,D304),IF(L304=1,IFERROR(ROUND(IF($G304 - (E304 * 6) &lt; 0, D304, ($G304 - (E304 * 6)) * $D$8 / 12),2),0) ) )</f>
        <v>16.1</v>
      </c>
      <c r="E305" s="231" t="n">
        <f aca="false">IF(ISERROR(A305), 0,  MAX(0,   MIN(    ROUND(G304 + D305, 2),    ROUND(FV($S$5, IF(type=1, A305, A304), , IF(J305&lt;&gt;1, -$D$20, -$P$16 + P305), 2), 0)   )  ) )</f>
        <v>30</v>
      </c>
      <c r="F305" s="231" t="n">
        <f aca="false">IF(J305&lt;&gt;1, "", IF(J304&lt;&gt;0, F304, $K$12))</f>
        <v>1</v>
      </c>
      <c r="G305" s="232" t="n">
        <f aca="false">IF(ISERROR(A305),"",ROUND(G304-E305+D305,2))</f>
        <v>3904.79</v>
      </c>
      <c r="H305" s="237" t="n">
        <f aca="false">IF(G305&gt;0,IFERROR(H304+(H304*($D$16/12)),""),"")</f>
        <v>29.1878347032521</v>
      </c>
      <c r="I305" s="223" t="n">
        <f aca="false">IF(ISERROR(A306),"",12 - MONTH(B305))</f>
        <v>2</v>
      </c>
      <c r="J305" s="224" t="n">
        <f aca="false">K305</f>
        <v>1</v>
      </c>
      <c r="K305" s="225" t="n">
        <f aca="false">_xlfn.IFNA(IF(B305&gt;=$K$11, 1,0),0)</f>
        <v>1</v>
      </c>
      <c r="L305" s="60" t="str">
        <f aca="false">IF(I305=0,1,"")</f>
        <v/>
      </c>
      <c r="P305" s="4" t="n">
        <f aca="false">IF(AND(G305&gt;E305, A305&lt;&gt;0, V305&lt;&gt;0), $N$5 * ($P$22 ^ V305 - 1), 0)</f>
        <v>0</v>
      </c>
      <c r="V305" s="71" t="n">
        <f aca="false">IF(B305&lt;EDATE($K$11,12), 0,  DATEDIF(EDATE($K$11,12), B305 + 1, "y") + 1 )</f>
        <v>18</v>
      </c>
    </row>
    <row r="306" customFormat="false" ht="12.75" hidden="false" customHeight="true" outlineLevel="0" collapsed="false">
      <c r="A306" s="228" t="n">
        <f aca="false">IF(OR(G305="",G305&lt;=0,C305&gt;150),NA(),A305+1)</f>
        <v>278</v>
      </c>
      <c r="B306" s="229" t="n">
        <f aca="false">IF(ISERROR(A306),"",IF($D$9="Annually",EDATE(B305,12),EDATE(B305,1)))</f>
        <v>54755</v>
      </c>
      <c r="C306" s="230" t="n">
        <f aca="false">IF(ISERROR(A306),"",C305+IF($D$9="Monthly",1/12,1))</f>
        <v>84.2166666666656</v>
      </c>
      <c r="D306" s="231" t="n">
        <f aca="false">IF(L305&lt;&gt;1, IF(G305&lt;E305,0,D305),IF(L305=1,IFERROR(ROUND(IF($G305 - (E305 * 6) &lt; 0, D305, ($G305 - (E305 * 6)) * $D$8 / 12),2),0) ) )</f>
        <v>16.1</v>
      </c>
      <c r="E306" s="231" t="n">
        <f aca="false">IF(ISERROR(A306), 0,  MAX(0,   MIN(    ROUND(G305 + D306, 2),    ROUND(FV($S$5, IF(type=1, A306, A305), , IF(J306&lt;&gt;1, -$D$20, -$P$16 + P306), 2), 0)   )  ) )</f>
        <v>30</v>
      </c>
      <c r="F306" s="231" t="n">
        <f aca="false">IF(J306&lt;&gt;1, "", IF(J305&lt;&gt;0, F305, $K$12))</f>
        <v>1</v>
      </c>
      <c r="G306" s="232" t="n">
        <f aca="false">IF(ISERROR(A306),"",ROUND(G305-E306+D306,2))</f>
        <v>3890.89</v>
      </c>
      <c r="H306" s="237" t="n">
        <f aca="false">IF(G306&gt;0,IFERROR(H305+(H305*($D$16/12)),""),"")</f>
        <v>29.2364810944242</v>
      </c>
      <c r="I306" s="223" t="n">
        <f aca="false">IF(ISERROR(A307),"",12 - MONTH(B306))</f>
        <v>1</v>
      </c>
      <c r="J306" s="224" t="n">
        <f aca="false">K306</f>
        <v>1</v>
      </c>
      <c r="K306" s="225" t="n">
        <f aca="false">_xlfn.IFNA(IF(B306&gt;=$K$11, 1,0),0)</f>
        <v>1</v>
      </c>
      <c r="L306" s="60" t="str">
        <f aca="false">IF(I306=0,1,"")</f>
        <v/>
      </c>
      <c r="P306" s="4" t="n">
        <f aca="false">IF(AND(G306&gt;E306, A306&lt;&gt;0, V306&lt;&gt;0), $N$5 * ($P$22 ^ V306 - 1), 0)</f>
        <v>0</v>
      </c>
      <c r="V306" s="71" t="n">
        <f aca="false">IF(B306&lt;EDATE($K$11,12), 0,  DATEDIF(EDATE($K$11,12), B306 + 1, "y") + 1 )</f>
        <v>18</v>
      </c>
    </row>
    <row r="307" customFormat="false" ht="12.75" hidden="false" customHeight="true" outlineLevel="0" collapsed="false">
      <c r="A307" s="228" t="n">
        <f aca="false">IF(OR(G306="",G306&lt;=0,C306&gt;150),NA(),A306+1)</f>
        <v>279</v>
      </c>
      <c r="B307" s="229" t="n">
        <f aca="false">IF(ISERROR(A307),"",IF($D$9="Annually",EDATE(B306,12),EDATE(B306,1)))</f>
        <v>54785</v>
      </c>
      <c r="C307" s="230" t="n">
        <f aca="false">IF(ISERROR(A307),"",C306+IF($D$9="Monthly",1/12,1))</f>
        <v>84.2999999999989</v>
      </c>
      <c r="D307" s="231" t="n">
        <f aca="false">IF(L306&lt;&gt;1, IF(G306&lt;E306,0,D306),IF(L306=1,IFERROR(ROUND(IF($G306 - (E306 * 6) &lt; 0, D306, ($G306 - (E306 * 6)) * $D$8 / 12),2),0) ) )</f>
        <v>16.1</v>
      </c>
      <c r="E307" s="231" t="n">
        <f aca="false">IF(ISERROR(A307), 0,  MAX(0,   MIN(    ROUND(G306 + D307, 2),    ROUND(FV($S$5, IF(type=1, A307, A306), , IF(J307&lt;&gt;1, -$D$20, -$P$16 + P307), 2), 0)   )  ) )</f>
        <v>30</v>
      </c>
      <c r="F307" s="231" t="n">
        <f aca="false">IF(J307&lt;&gt;1, "", IF(J306&lt;&gt;0, F306, $K$12))</f>
        <v>1</v>
      </c>
      <c r="G307" s="232" t="n">
        <f aca="false">IF(ISERROR(A307),"",ROUND(G306-E307+D307,2))</f>
        <v>3876.99</v>
      </c>
      <c r="H307" s="237" t="n">
        <f aca="false">IF(G307&gt;0,IFERROR(H306+(H306*($D$16/12)),""),"")</f>
        <v>29.2852085629149</v>
      </c>
      <c r="I307" s="223" t="n">
        <f aca="false">IF(ISERROR(A308),"",12 - MONTH(B307))</f>
        <v>0</v>
      </c>
      <c r="J307" s="224" t="n">
        <f aca="false">K307</f>
        <v>1</v>
      </c>
      <c r="K307" s="225" t="n">
        <f aca="false">_xlfn.IFNA(IF(B307&gt;=$K$11, 1,0),0)</f>
        <v>1</v>
      </c>
      <c r="L307" s="60" t="n">
        <f aca="false">IF(I307=0,1,"")</f>
        <v>1</v>
      </c>
      <c r="P307" s="4" t="n">
        <f aca="false">IF(AND(G307&gt;E307, A307&lt;&gt;0, V307&lt;&gt;0), $N$5 * ($P$22 ^ V307 - 1), 0)</f>
        <v>0</v>
      </c>
      <c r="V307" s="71" t="n">
        <f aca="false">IF(B307&lt;EDATE($K$11,12), 0,  DATEDIF(EDATE($K$11,12), B307 + 1, "y") + 1 )</f>
        <v>18</v>
      </c>
    </row>
    <row r="308" customFormat="false" ht="12.75" hidden="false" customHeight="true" outlineLevel="0" collapsed="false">
      <c r="A308" s="228" t="n">
        <f aca="false">IF(OR(G307="",G307&lt;=0,C307&gt;150),NA(),A307+1)</f>
        <v>280</v>
      </c>
      <c r="B308" s="229" t="n">
        <f aca="false">IF(ISERROR(A308),"",IF($D$9="Annually",EDATE(B307,12),EDATE(B307,1)))</f>
        <v>54816</v>
      </c>
      <c r="C308" s="230" t="n">
        <f aca="false">IF(ISERROR(A308),"",C307+IF($D$9="Monthly",1/12,1))</f>
        <v>84.3833333333323</v>
      </c>
      <c r="D308" s="231" t="n">
        <f aca="false">IF(L307&lt;&gt;1, IF(G307&lt;E307,0,D307),IF(L307=1,IFERROR(ROUND(IF($G307 - (E307 * 6) &lt; 0, D307, ($G307 - (E307 * 6)) * $D$8 / 12),2),0) ) )</f>
        <v>15.4</v>
      </c>
      <c r="E308" s="231" t="n">
        <f aca="false">IF(ISERROR(A308), 0,  MAX(0,   MIN(    ROUND(G307 + D308, 2),    ROUND(FV($S$5, IF(type=1, A308, A307), , IF(J308&lt;&gt;1, -$D$20, -$P$16 + P308), 2), 0)   )  ) )</f>
        <v>30</v>
      </c>
      <c r="F308" s="231" t="n">
        <f aca="false">IF(J308&lt;&gt;1, "", IF(J307&lt;&gt;0, F307, $K$12))</f>
        <v>1</v>
      </c>
      <c r="G308" s="232" t="n">
        <f aca="false">IF(ISERROR(A308),"",ROUND(G307-E308+D308,2))</f>
        <v>3862.39</v>
      </c>
      <c r="H308" s="237" t="n">
        <f aca="false">IF(G308&gt;0,IFERROR(H307+(H307*($D$16/12)),""),"")</f>
        <v>29.3340172438531</v>
      </c>
      <c r="I308" s="223" t="n">
        <f aca="false">IF(ISERROR(A309),"",12 - MONTH(B308))</f>
        <v>11</v>
      </c>
      <c r="J308" s="224" t="n">
        <f aca="false">K308</f>
        <v>1</v>
      </c>
      <c r="K308" s="225" t="n">
        <f aca="false">_xlfn.IFNA(IF(B308&gt;=$K$11, 1,0),0)</f>
        <v>1</v>
      </c>
      <c r="L308" s="60" t="str">
        <f aca="false">IF(I308=0,1,"")</f>
        <v/>
      </c>
      <c r="P308" s="4" t="n">
        <f aca="false">IF(AND(G308&gt;E308, A308&lt;&gt;0, V308&lt;&gt;0), $N$5 * ($P$22 ^ V308 - 1), 0)</f>
        <v>0</v>
      </c>
      <c r="V308" s="71" t="n">
        <f aca="false">IF(B308&lt;EDATE($K$11,12), 0,  DATEDIF(EDATE($K$11,12), B308 + 1, "y") + 1 )</f>
        <v>19</v>
      </c>
    </row>
    <row r="309" customFormat="false" ht="12.75" hidden="false" customHeight="true" outlineLevel="0" collapsed="false">
      <c r="A309" s="228" t="n">
        <f aca="false">IF(OR(G308="",G308&lt;=0,C308&gt;150),NA(),A308+1)</f>
        <v>281</v>
      </c>
      <c r="B309" s="229" t="n">
        <f aca="false">IF(ISERROR(A309),"",IF($D$9="Annually",EDATE(B308,12),EDATE(B308,1)))</f>
        <v>54847</v>
      </c>
      <c r="C309" s="230" t="n">
        <f aca="false">IF(ISERROR(A309),"",C308+IF($D$9="Monthly",1/12,1))</f>
        <v>84.4666666666656</v>
      </c>
      <c r="D309" s="231" t="n">
        <f aca="false">IF(L308&lt;&gt;1, IF(G308&lt;E308,0,D308),IF(L308=1,IFERROR(ROUND(IF($G308 - (E308 * 6) &lt; 0, D308, ($G308 - (E308 * 6)) * $D$8 / 12),2),0) ) )</f>
        <v>15.4</v>
      </c>
      <c r="E309" s="231" t="n">
        <f aca="false">IF(ISERROR(A309), 0,  MAX(0,   MIN(    ROUND(G308 + D309, 2),    ROUND(FV($S$5, IF(type=1, A309, A308), , IF(J309&lt;&gt;1, -$D$20, -$P$16 + P309), 2), 0)   )  ) )</f>
        <v>30</v>
      </c>
      <c r="F309" s="231" t="n">
        <f aca="false">IF(J309&lt;&gt;1, "", IF(J308&lt;&gt;0, F308, $K$12))</f>
        <v>1</v>
      </c>
      <c r="G309" s="232" t="n">
        <f aca="false">IF(ISERROR(A309),"",ROUND(G308-E309+D309,2))</f>
        <v>3847.79</v>
      </c>
      <c r="H309" s="237" t="n">
        <f aca="false">IF(G309&gt;0,IFERROR(H308+(H308*($D$16/12)),""),"")</f>
        <v>29.3829072725928</v>
      </c>
      <c r="I309" s="223" t="n">
        <f aca="false">IF(ISERROR(A310),"",12 - MONTH(B309))</f>
        <v>10</v>
      </c>
      <c r="J309" s="224" t="n">
        <f aca="false">K309</f>
        <v>1</v>
      </c>
      <c r="K309" s="225" t="n">
        <f aca="false">_xlfn.IFNA(IF(B309&gt;=$K$11, 1,0),0)</f>
        <v>1</v>
      </c>
      <c r="L309" s="60" t="str">
        <f aca="false">IF(I309=0,1,"")</f>
        <v/>
      </c>
      <c r="P309" s="4" t="n">
        <f aca="false">IF(AND(G309&gt;E309, A309&lt;&gt;0, V309&lt;&gt;0), $N$5 * ($P$22 ^ V309 - 1), 0)</f>
        <v>0</v>
      </c>
      <c r="V309" s="71" t="n">
        <f aca="false">IF(B309&lt;EDATE($K$11,12), 0,  DATEDIF(EDATE($K$11,12), B309 + 1, "y") + 1 )</f>
        <v>19</v>
      </c>
    </row>
    <row r="310" customFormat="false" ht="12.75" hidden="false" customHeight="true" outlineLevel="0" collapsed="false">
      <c r="A310" s="228" t="n">
        <f aca="false">IF(OR(G309="",G309&lt;=0,C309&gt;150),NA(),A309+1)</f>
        <v>282</v>
      </c>
      <c r="B310" s="229" t="n">
        <f aca="false">IF(ISERROR(A310),"",IF($D$9="Annually",EDATE(B309,12),EDATE(B309,1)))</f>
        <v>54875</v>
      </c>
      <c r="C310" s="230" t="n">
        <f aca="false">IF(ISERROR(A310),"",C309+IF($D$9="Monthly",1/12,1))</f>
        <v>84.5499999999989</v>
      </c>
      <c r="D310" s="231" t="n">
        <f aca="false">IF(L309&lt;&gt;1, IF(G309&lt;E309,0,D309),IF(L309=1,IFERROR(ROUND(IF($G309 - (E309 * 6) &lt; 0, D309, ($G309 - (E309 * 6)) * $D$8 / 12),2),0) ) )</f>
        <v>15.4</v>
      </c>
      <c r="E310" s="231" t="n">
        <f aca="false">IF(ISERROR(A310), 0,  MAX(0,   MIN(    ROUND(G309 + D310, 2),    ROUND(FV($S$5, IF(type=1, A310, A309), , IF(J310&lt;&gt;1, -$D$20, -$P$16 + P310), 2), 0)   )  ) )</f>
        <v>30</v>
      </c>
      <c r="F310" s="231" t="n">
        <f aca="false">IF(J310&lt;&gt;1, "", IF(J309&lt;&gt;0, F309, $K$12))</f>
        <v>1</v>
      </c>
      <c r="G310" s="232" t="n">
        <f aca="false">IF(ISERROR(A310),"",ROUND(G309-E310+D310,2))</f>
        <v>3833.19</v>
      </c>
      <c r="H310" s="237" t="n">
        <f aca="false">IF(G310&gt;0,IFERROR(H309+(H309*($D$16/12)),""),"")</f>
        <v>29.4318787847138</v>
      </c>
      <c r="I310" s="223" t="n">
        <f aca="false">IF(ISERROR(A311),"",12 - MONTH(B310))</f>
        <v>9</v>
      </c>
      <c r="J310" s="224" t="n">
        <f aca="false">K310</f>
        <v>1</v>
      </c>
      <c r="K310" s="225" t="n">
        <f aca="false">_xlfn.IFNA(IF(B310&gt;=$K$11, 1,0),0)</f>
        <v>1</v>
      </c>
      <c r="L310" s="60" t="str">
        <f aca="false">IF(I310=0,1,"")</f>
        <v/>
      </c>
      <c r="P310" s="4" t="n">
        <f aca="false">IF(AND(G310&gt;E310, A310&lt;&gt;0, V310&lt;&gt;0), $N$5 * ($P$22 ^ V310 - 1), 0)</f>
        <v>0</v>
      </c>
      <c r="V310" s="71" t="n">
        <f aca="false">IF(B310&lt;EDATE($K$11,12), 0,  DATEDIF(EDATE($K$11,12), B310 + 1, "y") + 1 )</f>
        <v>19</v>
      </c>
    </row>
    <row r="311" customFormat="false" ht="12.75" hidden="false" customHeight="true" outlineLevel="0" collapsed="false">
      <c r="A311" s="228" t="n">
        <f aca="false">IF(OR(G310="",G310&lt;=0,C310&gt;150),NA(),A310+1)</f>
        <v>283</v>
      </c>
      <c r="B311" s="229" t="n">
        <f aca="false">IF(ISERROR(A311),"",IF($D$9="Annually",EDATE(B310,12),EDATE(B310,1)))</f>
        <v>54906</v>
      </c>
      <c r="C311" s="230" t="n">
        <f aca="false">IF(ISERROR(A311),"",C310+IF($D$9="Monthly",1/12,1))</f>
        <v>84.6333333333323</v>
      </c>
      <c r="D311" s="231" t="n">
        <f aca="false">IF(L310&lt;&gt;1, IF(G310&lt;E310,0,D310),IF(L310=1,IFERROR(ROUND(IF($G310 - (E310 * 6) &lt; 0, D310, ($G310 - (E310 * 6)) * $D$8 / 12),2),0) ) )</f>
        <v>15.4</v>
      </c>
      <c r="E311" s="231" t="n">
        <f aca="false">IF(ISERROR(A311), 0,  MAX(0,   MIN(    ROUND(G310 + D311, 2),    ROUND(FV($S$5, IF(type=1, A311, A310), , IF(J311&lt;&gt;1, -$D$20, -$P$16 + P311), 2), 0)   )  ) )</f>
        <v>30</v>
      </c>
      <c r="F311" s="231" t="n">
        <f aca="false">IF(J311&lt;&gt;1, "", IF(J310&lt;&gt;0, F310, $K$12))</f>
        <v>1</v>
      </c>
      <c r="G311" s="232" t="n">
        <f aca="false">IF(ISERROR(A311),"",ROUND(G310-E311+D311,2))</f>
        <v>3818.59</v>
      </c>
      <c r="H311" s="237" t="n">
        <f aca="false">IF(G311&gt;0,IFERROR(H310+(H310*($D$16/12)),""),"")</f>
        <v>29.4809319160217</v>
      </c>
      <c r="I311" s="223" t="n">
        <f aca="false">IF(ISERROR(A312),"",12 - MONTH(B311))</f>
        <v>8</v>
      </c>
      <c r="J311" s="224" t="n">
        <f aca="false">K311</f>
        <v>1</v>
      </c>
      <c r="K311" s="225" t="n">
        <f aca="false">_xlfn.IFNA(IF(B311&gt;=$K$11, 1,0),0)</f>
        <v>1</v>
      </c>
      <c r="L311" s="60" t="str">
        <f aca="false">IF(I311=0,1,"")</f>
        <v/>
      </c>
      <c r="P311" s="4" t="n">
        <f aca="false">IF(AND(G311&gt;E311, A311&lt;&gt;0, V311&lt;&gt;0), $N$5 * ($P$22 ^ V311 - 1), 0)</f>
        <v>0</v>
      </c>
      <c r="V311" s="71" t="n">
        <f aca="false">IF(B311&lt;EDATE($K$11,12), 0,  DATEDIF(EDATE($K$11,12), B311 + 1, "y") + 1 )</f>
        <v>19</v>
      </c>
    </row>
    <row r="312" customFormat="false" ht="12.75" hidden="false" customHeight="true" outlineLevel="0" collapsed="false">
      <c r="A312" s="228" t="n">
        <f aca="false">IF(OR(G311="",G311&lt;=0,C311&gt;150),NA(),A311+1)</f>
        <v>284</v>
      </c>
      <c r="B312" s="229" t="n">
        <f aca="false">IF(ISERROR(A312),"",IF($D$9="Annually",EDATE(B311,12),EDATE(B311,1)))</f>
        <v>54936</v>
      </c>
      <c r="C312" s="230" t="n">
        <f aca="false">IF(ISERROR(A312),"",C311+IF($D$9="Monthly",1/12,1))</f>
        <v>84.7166666666656</v>
      </c>
      <c r="D312" s="231" t="n">
        <f aca="false">IF(L311&lt;&gt;1, IF(G311&lt;E311,0,D311),IF(L311=1,IFERROR(ROUND(IF($G311 - (E311 * 6) &lt; 0, D311, ($G311 - (E311 * 6)) * $D$8 / 12),2),0) ) )</f>
        <v>15.4</v>
      </c>
      <c r="E312" s="231" t="n">
        <f aca="false">IF(ISERROR(A312), 0,  MAX(0,   MIN(    ROUND(G311 + D312, 2),    ROUND(FV($S$5, IF(type=1, A312, A311), , IF(J312&lt;&gt;1, -$D$20, -$P$16 + P312), 2), 0)   )  ) )</f>
        <v>30</v>
      </c>
      <c r="F312" s="231" t="n">
        <f aca="false">IF(J312&lt;&gt;1, "", IF(J311&lt;&gt;0, F311, $K$12))</f>
        <v>1</v>
      </c>
      <c r="G312" s="232" t="n">
        <f aca="false">IF(ISERROR(A312),"",ROUND(G311-E312+D312,2))</f>
        <v>3803.99</v>
      </c>
      <c r="H312" s="237" t="n">
        <f aca="false">IF(G312&gt;0,IFERROR(H311+(H311*($D$16/12)),""),"")</f>
        <v>29.5300668025484</v>
      </c>
      <c r="I312" s="223" t="n">
        <f aca="false">IF(ISERROR(A313),"",12 - MONTH(B312))</f>
        <v>7</v>
      </c>
      <c r="J312" s="224" t="n">
        <f aca="false">K312</f>
        <v>1</v>
      </c>
      <c r="K312" s="225" t="n">
        <f aca="false">_xlfn.IFNA(IF(B312&gt;=$K$11, 1,0),0)</f>
        <v>1</v>
      </c>
      <c r="L312" s="60" t="str">
        <f aca="false">IF(I312=0,1,"")</f>
        <v/>
      </c>
      <c r="P312" s="4" t="n">
        <f aca="false">IF(AND(G312&gt;E312, A312&lt;&gt;0, V312&lt;&gt;0), $N$5 * ($P$22 ^ V312 - 1), 0)</f>
        <v>0</v>
      </c>
      <c r="V312" s="71" t="n">
        <f aca="false">IF(B312&lt;EDATE($K$11,12), 0,  DATEDIF(EDATE($K$11,12), B312 + 1, "y") + 1 )</f>
        <v>19</v>
      </c>
    </row>
    <row r="313" customFormat="false" ht="12.75" hidden="false" customHeight="true" outlineLevel="0" collapsed="false">
      <c r="A313" s="228" t="n">
        <f aca="false">IF(OR(G312="",G312&lt;=0,C312&gt;150),NA(),A312+1)</f>
        <v>285</v>
      </c>
      <c r="B313" s="229" t="n">
        <f aca="false">IF(ISERROR(A313),"",IF($D$9="Annually",EDATE(B312,12),EDATE(B312,1)))</f>
        <v>54967</v>
      </c>
      <c r="C313" s="230" t="n">
        <f aca="false">IF(ISERROR(A313),"",C312+IF($D$9="Monthly",1/12,1))</f>
        <v>84.7999999999989</v>
      </c>
      <c r="D313" s="231" t="n">
        <f aca="false">IF(L312&lt;&gt;1, IF(G312&lt;E312,0,D312),IF(L312=1,IFERROR(ROUND(IF($G312 - (E312 * 6) &lt; 0, D312, ($G312 - (E312 * 6)) * $D$8 / 12),2),0) ) )</f>
        <v>15.4</v>
      </c>
      <c r="E313" s="231" t="n">
        <f aca="false">IF(ISERROR(A313), 0,  MAX(0,   MIN(    ROUND(G312 + D313, 2),    ROUND(FV($S$5, IF(type=1, A313, A312), , IF(J313&lt;&gt;1, -$D$20, -$P$16 + P313), 2), 0)   )  ) )</f>
        <v>30</v>
      </c>
      <c r="F313" s="231" t="n">
        <f aca="false">IF(J313&lt;&gt;1, "", IF(J312&lt;&gt;0, F312, $K$12))</f>
        <v>1</v>
      </c>
      <c r="G313" s="232" t="n">
        <f aca="false">IF(ISERROR(A313),"",ROUND(G312-E313+D313,2))</f>
        <v>3789.39</v>
      </c>
      <c r="H313" s="237" t="n">
        <f aca="false">IF(G313&gt;0,IFERROR(H312+(H312*($D$16/12)),""),"")</f>
        <v>29.5792835805526</v>
      </c>
      <c r="I313" s="223" t="n">
        <f aca="false">IF(ISERROR(A314),"",12 - MONTH(B313))</f>
        <v>6</v>
      </c>
      <c r="J313" s="224" t="n">
        <f aca="false">K313</f>
        <v>1</v>
      </c>
      <c r="K313" s="225" t="n">
        <f aca="false">_xlfn.IFNA(IF(B313&gt;=$K$11, 1,0),0)</f>
        <v>1</v>
      </c>
      <c r="L313" s="60" t="str">
        <f aca="false">IF(I313=0,1,"")</f>
        <v/>
      </c>
      <c r="P313" s="4" t="n">
        <f aca="false">IF(AND(G313&gt;E313, A313&lt;&gt;0, V313&lt;&gt;0), $N$5 * ($P$22 ^ V313 - 1), 0)</f>
        <v>0</v>
      </c>
      <c r="V313" s="71" t="n">
        <f aca="false">IF(B313&lt;EDATE($K$11,12), 0,  DATEDIF(EDATE($K$11,12), B313 + 1, "y") + 1 )</f>
        <v>19</v>
      </c>
    </row>
    <row r="314" customFormat="false" ht="12.75" hidden="false" customHeight="true" outlineLevel="0" collapsed="false">
      <c r="A314" s="228" t="n">
        <f aca="false">IF(OR(G313="",G313&lt;=0,C313&gt;150),NA(),A313+1)</f>
        <v>286</v>
      </c>
      <c r="B314" s="229" t="n">
        <f aca="false">IF(ISERROR(A314),"",IF($D$9="Annually",EDATE(B313,12),EDATE(B313,1)))</f>
        <v>54997</v>
      </c>
      <c r="C314" s="230" t="n">
        <f aca="false">IF(ISERROR(A314),"",C313+IF($D$9="Monthly",1/12,1))</f>
        <v>84.8833333333322</v>
      </c>
      <c r="D314" s="231" t="n">
        <f aca="false">IF(L313&lt;&gt;1, IF(G313&lt;E313,0,D313),IF(L313=1,IFERROR(ROUND(IF($G313 - (E313 * 6) &lt; 0, D313, ($G313 - (E313 * 6)) * $D$8 / 12),2),0) ) )</f>
        <v>15.4</v>
      </c>
      <c r="E314" s="231" t="n">
        <f aca="false">IF(ISERROR(A314), 0,  MAX(0,   MIN(    ROUND(G313 + D314, 2),    ROUND(FV($S$5, IF(type=1, A314, A313), , IF(J314&lt;&gt;1, -$D$20, -$P$16 + P314), 2), 0)   )  ) )</f>
        <v>30</v>
      </c>
      <c r="F314" s="231" t="n">
        <f aca="false">IF(J314&lt;&gt;1, "", IF(J313&lt;&gt;0, F313, $K$12))</f>
        <v>1</v>
      </c>
      <c r="G314" s="232" t="n">
        <f aca="false">IF(ISERROR(A314),"",ROUND(G313-E314+D314,2))</f>
        <v>3774.79</v>
      </c>
      <c r="H314" s="237" t="n">
        <f aca="false">IF(G314&gt;0,IFERROR(H313+(H313*($D$16/12)),""),"")</f>
        <v>29.6285823865202</v>
      </c>
      <c r="I314" s="223" t="n">
        <f aca="false">IF(ISERROR(A315),"",12 - MONTH(B314))</f>
        <v>5</v>
      </c>
      <c r="J314" s="224" t="n">
        <f aca="false">K314</f>
        <v>1</v>
      </c>
      <c r="K314" s="225" t="n">
        <f aca="false">_xlfn.IFNA(IF(B314&gt;=$K$11, 1,0),0)</f>
        <v>1</v>
      </c>
      <c r="L314" s="60" t="str">
        <f aca="false">IF(I314=0,1,"")</f>
        <v/>
      </c>
      <c r="P314" s="4" t="n">
        <f aca="false">IF(AND(G314&gt;E314, A314&lt;&gt;0, V314&lt;&gt;0), $N$5 * ($P$22 ^ V314 - 1), 0)</f>
        <v>0</v>
      </c>
      <c r="V314" s="71" t="n">
        <f aca="false">IF(B314&lt;EDATE($K$11,12), 0,  DATEDIF(EDATE($K$11,12), B314 + 1, "y") + 1 )</f>
        <v>19</v>
      </c>
    </row>
    <row r="315" customFormat="false" ht="12.75" hidden="false" customHeight="true" outlineLevel="0" collapsed="false">
      <c r="A315" s="228" t="n">
        <f aca="false">IF(OR(G314="",G314&lt;=0,C314&gt;150),NA(),A314+1)</f>
        <v>287</v>
      </c>
      <c r="B315" s="229" t="n">
        <f aca="false">IF(ISERROR(A315),"",IF($D$9="Annually",EDATE(B314,12),EDATE(B314,1)))</f>
        <v>55028</v>
      </c>
      <c r="C315" s="230" t="n">
        <f aca="false">IF(ISERROR(A315),"",C314+IF($D$9="Monthly",1/12,1))</f>
        <v>84.9666666666656</v>
      </c>
      <c r="D315" s="231" t="n">
        <f aca="false">IF(L314&lt;&gt;1, IF(G314&lt;E314,0,D314),IF(L314=1,IFERROR(ROUND(IF($G314 - (E314 * 6) &lt; 0, D314, ($G314 - (E314 * 6)) * $D$8 / 12),2),0) ) )</f>
        <v>15.4</v>
      </c>
      <c r="E315" s="231" t="n">
        <f aca="false">IF(ISERROR(A315), 0,  MAX(0,   MIN(    ROUND(G314 + D315, 2),    ROUND(FV($S$5, IF(type=1, A315, A314), , IF(J315&lt;&gt;1, -$D$20, -$P$16 + P315), 2), 0)   )  ) )</f>
        <v>30</v>
      </c>
      <c r="F315" s="231" t="n">
        <f aca="false">IF(J315&lt;&gt;1, "", IF(J314&lt;&gt;0, F314, $K$12))</f>
        <v>1</v>
      </c>
      <c r="G315" s="232" t="n">
        <f aca="false">IF(ISERROR(A315),"",ROUND(G314-E315+D315,2))</f>
        <v>3760.19</v>
      </c>
      <c r="H315" s="237" t="n">
        <f aca="false">IF(G315&gt;0,IFERROR(H314+(H314*($D$16/12)),""),"")</f>
        <v>29.6779633571644</v>
      </c>
      <c r="I315" s="223" t="n">
        <f aca="false">IF(ISERROR(A316),"",12 - MONTH(B315))</f>
        <v>4</v>
      </c>
      <c r="J315" s="224" t="n">
        <f aca="false">K315</f>
        <v>1</v>
      </c>
      <c r="K315" s="225" t="n">
        <f aca="false">_xlfn.IFNA(IF(B315&gt;=$K$11, 1,0),0)</f>
        <v>1</v>
      </c>
      <c r="L315" s="60" t="str">
        <f aca="false">IF(I315=0,1,"")</f>
        <v/>
      </c>
      <c r="P315" s="4" t="n">
        <f aca="false">IF(AND(G315&gt;E315, A315&lt;&gt;0, V315&lt;&gt;0), $N$5 * ($P$22 ^ V315 - 1), 0)</f>
        <v>0</v>
      </c>
      <c r="V315" s="71" t="n">
        <f aca="false">IF(B315&lt;EDATE($K$11,12), 0,  DATEDIF(EDATE($K$11,12), B315 + 1, "y") + 1 )</f>
        <v>19</v>
      </c>
    </row>
    <row r="316" customFormat="false" ht="12.75" hidden="false" customHeight="true" outlineLevel="0" collapsed="false">
      <c r="A316" s="228" t="n">
        <f aca="false">IF(OR(G315="",G315&lt;=0,C315&gt;150),NA(),A315+1)</f>
        <v>288</v>
      </c>
      <c r="B316" s="229" t="n">
        <f aca="false">IF(ISERROR(A316),"",IF($D$9="Annually",EDATE(B315,12),EDATE(B315,1)))</f>
        <v>55059</v>
      </c>
      <c r="C316" s="230" t="n">
        <f aca="false">IF(ISERROR(A316),"",C315+IF($D$9="Monthly",1/12,1))</f>
        <v>85.0499999999989</v>
      </c>
      <c r="D316" s="231" t="n">
        <f aca="false">IF(L315&lt;&gt;1, IF(G315&lt;E315,0,D315),IF(L315=1,IFERROR(ROUND(IF($G315 - (E315 * 6) &lt; 0, D315, ($G315 - (E315 * 6)) * $D$8 / 12),2),0) ) )</f>
        <v>15.4</v>
      </c>
      <c r="E316" s="231" t="n">
        <f aca="false">IF(ISERROR(A316), 0,  MAX(0,   MIN(    ROUND(G315 + D316, 2),    ROUND(FV($S$5, IF(type=1, A316, A315), , IF(J316&lt;&gt;1, -$D$20, -$P$16 + P316), 2), 0)   )  ) )</f>
        <v>30</v>
      </c>
      <c r="F316" s="231" t="n">
        <f aca="false">IF(J316&lt;&gt;1, "", IF(J315&lt;&gt;0, F315, $K$12))</f>
        <v>1</v>
      </c>
      <c r="G316" s="232" t="n">
        <f aca="false">IF(ISERROR(A316),"",ROUND(G315-E316+D316,2))</f>
        <v>3745.59</v>
      </c>
      <c r="H316" s="237" t="n">
        <f aca="false">IF(G316&gt;0,IFERROR(H315+(H315*($D$16/12)),""),"")</f>
        <v>29.7274266294263</v>
      </c>
      <c r="I316" s="223" t="n">
        <f aca="false">IF(ISERROR(A317),"",12 - MONTH(B316))</f>
        <v>3</v>
      </c>
      <c r="J316" s="224" t="n">
        <f aca="false">K316</f>
        <v>1</v>
      </c>
      <c r="K316" s="225" t="n">
        <f aca="false">_xlfn.IFNA(IF(B316&gt;=$K$11, 1,0),0)</f>
        <v>1</v>
      </c>
      <c r="L316" s="60" t="str">
        <f aca="false">IF(I316=0,1,"")</f>
        <v/>
      </c>
      <c r="P316" s="4" t="n">
        <f aca="false">IF(AND(G316&gt;E316, A316&lt;&gt;0, V316&lt;&gt;0), $N$5 * ($P$22 ^ V316 - 1), 0)</f>
        <v>0</v>
      </c>
      <c r="V316" s="71" t="n">
        <f aca="false">IF(B316&lt;EDATE($K$11,12), 0,  DATEDIF(EDATE($K$11,12), B316 + 1, "y") + 1 )</f>
        <v>19</v>
      </c>
    </row>
    <row r="317" customFormat="false" ht="12.75" hidden="false" customHeight="true" outlineLevel="0" collapsed="false">
      <c r="A317" s="228" t="n">
        <f aca="false">IF(OR(G316="",G316&lt;=0,C316&gt;150),NA(),A316+1)</f>
        <v>289</v>
      </c>
      <c r="B317" s="229" t="n">
        <f aca="false">IF(ISERROR(A317),"",IF($D$9="Annually",EDATE(B316,12),EDATE(B316,1)))</f>
        <v>55089</v>
      </c>
      <c r="C317" s="230" t="n">
        <f aca="false">IF(ISERROR(A317),"",C316+IF($D$9="Monthly",1/12,1))</f>
        <v>85.1333333333322</v>
      </c>
      <c r="D317" s="231" t="n">
        <f aca="false">IF(L316&lt;&gt;1, IF(G316&lt;E316,0,D316),IF(L316=1,IFERROR(ROUND(IF($G316 - (E316 * 6) &lt; 0, D316, ($G316 - (E316 * 6)) * $D$8 / 12),2),0) ) )</f>
        <v>15.4</v>
      </c>
      <c r="E317" s="231" t="n">
        <f aca="false">IF(ISERROR(A317), 0,  MAX(0,   MIN(    ROUND(G316 + D317, 2),    ROUND(FV($S$5, IF(type=1, A317, A316), , IF(J317&lt;&gt;1, -$D$20, -$P$16 + P317), 2), 0)   )  ) )</f>
        <v>30</v>
      </c>
      <c r="F317" s="231" t="n">
        <f aca="false">IF(J317&lt;&gt;1, "", IF(J316&lt;&gt;0, F316, $K$12))</f>
        <v>1</v>
      </c>
      <c r="G317" s="232" t="n">
        <f aca="false">IF(ISERROR(A317),"",ROUND(G316-E317+D317,2))</f>
        <v>3730.99</v>
      </c>
      <c r="H317" s="237" t="n">
        <f aca="false">IF(G317&gt;0,IFERROR(H316+(H316*($D$16/12)),""),"")</f>
        <v>29.7769723404754</v>
      </c>
      <c r="I317" s="223" t="n">
        <f aca="false">IF(ISERROR(A318),"",12 - MONTH(B317))</f>
        <v>2</v>
      </c>
      <c r="J317" s="224" t="n">
        <f aca="false">K317</f>
        <v>1</v>
      </c>
      <c r="K317" s="225" t="n">
        <f aca="false">_xlfn.IFNA(IF(B317&gt;=$K$11, 1,0),0)</f>
        <v>1</v>
      </c>
      <c r="L317" s="60" t="str">
        <f aca="false">IF(I317=0,1,"")</f>
        <v/>
      </c>
      <c r="P317" s="4" t="n">
        <f aca="false">IF(AND(G317&gt;E317, A317&lt;&gt;0, V317&lt;&gt;0), $N$5 * ($P$22 ^ V317 - 1), 0)</f>
        <v>0</v>
      </c>
      <c r="V317" s="71" t="n">
        <f aca="false">IF(B317&lt;EDATE($K$11,12), 0,  DATEDIF(EDATE($K$11,12), B317 + 1, "y") + 1 )</f>
        <v>19</v>
      </c>
    </row>
    <row r="318" customFormat="false" ht="12.75" hidden="false" customHeight="true" outlineLevel="0" collapsed="false">
      <c r="A318" s="228" t="n">
        <f aca="false">IF(OR(G317="",G317&lt;=0,C317&gt;150),NA(),A317+1)</f>
        <v>290</v>
      </c>
      <c r="B318" s="229" t="n">
        <f aca="false">IF(ISERROR(A318),"",IF($D$9="Annually",EDATE(B317,12),EDATE(B317,1)))</f>
        <v>55120</v>
      </c>
      <c r="C318" s="230" t="n">
        <f aca="false">IF(ISERROR(A318),"",C317+IF($D$9="Monthly",1/12,1))</f>
        <v>85.2166666666656</v>
      </c>
      <c r="D318" s="231" t="n">
        <f aca="false">IF(L317&lt;&gt;1, IF(G317&lt;E317,0,D317),IF(L317=1,IFERROR(ROUND(IF($G317 - (E317 * 6) &lt; 0, D317, ($G317 - (E317 * 6)) * $D$8 / 12),2),0) ) )</f>
        <v>15.4</v>
      </c>
      <c r="E318" s="231" t="n">
        <f aca="false">IF(ISERROR(A318), 0,  MAX(0,   MIN(    ROUND(G317 + D318, 2),    ROUND(FV($S$5, IF(type=1, A318, A317), , IF(J318&lt;&gt;1, -$D$20, -$P$16 + P318), 2), 0)   )  ) )</f>
        <v>30</v>
      </c>
      <c r="F318" s="231" t="n">
        <f aca="false">IF(J318&lt;&gt;1, "", IF(J317&lt;&gt;0, F317, $K$12))</f>
        <v>1</v>
      </c>
      <c r="G318" s="232" t="n">
        <f aca="false">IF(ISERROR(A318),"",ROUND(G317-E318+D318,2))</f>
        <v>3716.39</v>
      </c>
      <c r="H318" s="237" t="n">
        <f aca="false">IF(G318&gt;0,IFERROR(H317+(H317*($D$16/12)),""),"")</f>
        <v>29.8266006277095</v>
      </c>
      <c r="I318" s="223" t="n">
        <f aca="false">IF(ISERROR(A319),"",12 - MONTH(B318))</f>
        <v>1</v>
      </c>
      <c r="J318" s="224" t="n">
        <f aca="false">K318</f>
        <v>1</v>
      </c>
      <c r="K318" s="225" t="n">
        <f aca="false">_xlfn.IFNA(IF(B318&gt;=$K$11, 1,0),0)</f>
        <v>1</v>
      </c>
      <c r="L318" s="60" t="str">
        <f aca="false">IF(I318=0,1,"")</f>
        <v/>
      </c>
      <c r="P318" s="4" t="n">
        <f aca="false">IF(AND(G318&gt;E318, A318&lt;&gt;0, V318&lt;&gt;0), $N$5 * ($P$22 ^ V318 - 1), 0)</f>
        <v>0</v>
      </c>
      <c r="V318" s="71" t="n">
        <f aca="false">IF(B318&lt;EDATE($K$11,12), 0,  DATEDIF(EDATE($K$11,12), B318 + 1, "y") + 1 )</f>
        <v>19</v>
      </c>
    </row>
    <row r="319" customFormat="false" ht="12.75" hidden="false" customHeight="true" outlineLevel="0" collapsed="false">
      <c r="A319" s="228" t="n">
        <f aca="false">IF(OR(G318="",G318&lt;=0,C318&gt;150),NA(),A318+1)</f>
        <v>291</v>
      </c>
      <c r="B319" s="229" t="n">
        <f aca="false">IF(ISERROR(A319),"",IF($D$9="Annually",EDATE(B318,12),EDATE(B318,1)))</f>
        <v>55150</v>
      </c>
      <c r="C319" s="230" t="n">
        <f aca="false">IF(ISERROR(A319),"",C318+IF($D$9="Monthly",1/12,1))</f>
        <v>85.2999999999989</v>
      </c>
      <c r="D319" s="231" t="n">
        <f aca="false">IF(L318&lt;&gt;1, IF(G318&lt;E318,0,D318),IF(L318=1,IFERROR(ROUND(IF($G318 - (E318 * 6) &lt; 0, D318, ($G318 - (E318 * 6)) * $D$8 / 12),2),0) ) )</f>
        <v>15.4</v>
      </c>
      <c r="E319" s="231" t="n">
        <f aca="false">IF(ISERROR(A319), 0,  MAX(0,   MIN(    ROUND(G318 + D319, 2),    ROUND(FV($S$5, IF(type=1, A319, A318), , IF(J319&lt;&gt;1, -$D$20, -$P$16 + P319), 2), 0)   )  ) )</f>
        <v>30</v>
      </c>
      <c r="F319" s="231" t="n">
        <f aca="false">IF(J319&lt;&gt;1, "", IF(J318&lt;&gt;0, F318, $K$12))</f>
        <v>1</v>
      </c>
      <c r="G319" s="232" t="n">
        <f aca="false">IF(ISERROR(A319),"",ROUND(G318-E319+D319,2))</f>
        <v>3701.79</v>
      </c>
      <c r="H319" s="237" t="n">
        <f aca="false">IF(G319&gt;0,IFERROR(H318+(H318*($D$16/12)),""),"")</f>
        <v>29.8763116287557</v>
      </c>
      <c r="I319" s="223" t="n">
        <f aca="false">IF(ISERROR(A320),"",12 - MONTH(B319))</f>
        <v>0</v>
      </c>
      <c r="J319" s="224" t="n">
        <f aca="false">K319</f>
        <v>1</v>
      </c>
      <c r="K319" s="225" t="n">
        <f aca="false">_xlfn.IFNA(IF(B319&gt;=$K$11, 1,0),0)</f>
        <v>1</v>
      </c>
      <c r="L319" s="60" t="n">
        <f aca="false">IF(I319=0,1,"")</f>
        <v>1</v>
      </c>
      <c r="P319" s="4" t="n">
        <f aca="false">IF(AND(G319&gt;E319, A319&lt;&gt;0, V319&lt;&gt;0), $N$5 * ($P$22 ^ V319 - 1), 0)</f>
        <v>0</v>
      </c>
      <c r="V319" s="71" t="n">
        <f aca="false">IF(B319&lt;EDATE($K$11,12), 0,  DATEDIF(EDATE($K$11,12), B319 + 1, "y") + 1 )</f>
        <v>19</v>
      </c>
    </row>
    <row r="320" customFormat="false" ht="12.75" hidden="false" customHeight="true" outlineLevel="0" collapsed="false">
      <c r="A320" s="228" t="n">
        <f aca="false">IF(OR(G319="",G319&lt;=0,C319&gt;150),NA(),A319+1)</f>
        <v>292</v>
      </c>
      <c r="B320" s="229" t="n">
        <f aca="false">IF(ISERROR(A320),"",IF($D$9="Annually",EDATE(B319,12),EDATE(B319,1)))</f>
        <v>55181</v>
      </c>
      <c r="C320" s="230" t="n">
        <f aca="false">IF(ISERROR(A320),"",C319+IF($D$9="Monthly",1/12,1))</f>
        <v>85.3833333333322</v>
      </c>
      <c r="D320" s="231" t="n">
        <f aca="false">IF(L319&lt;&gt;1, IF(G319&lt;E319,0,D319),IF(L319=1,IFERROR(ROUND(IF($G319 - (E319 * 6) &lt; 0, D319, ($G319 - (E319 * 6)) * $D$8 / 12),2),0) ) )</f>
        <v>14.67</v>
      </c>
      <c r="E320" s="231" t="n">
        <f aca="false">IF(ISERROR(A320), 0,  MAX(0,   MIN(    ROUND(G319 + D320, 2),    ROUND(FV($S$5, IF(type=1, A320, A319), , IF(J320&lt;&gt;1, -$D$20, -$P$16 + P320), 2), 0)   )  ) )</f>
        <v>30</v>
      </c>
      <c r="F320" s="231" t="n">
        <f aca="false">IF(J320&lt;&gt;1, "", IF(J319&lt;&gt;0, F319, $K$12))</f>
        <v>1</v>
      </c>
      <c r="G320" s="232" t="n">
        <f aca="false">IF(ISERROR(A320),"",ROUND(G319-E320+D320,2))</f>
        <v>3686.46</v>
      </c>
      <c r="H320" s="237" t="n">
        <f aca="false">IF(G320&gt;0,IFERROR(H319+(H319*($D$16/12)),""),"")</f>
        <v>29.9261054814703</v>
      </c>
      <c r="I320" s="223" t="n">
        <f aca="false">IF(ISERROR(A321),"",12 - MONTH(B320))</f>
        <v>11</v>
      </c>
      <c r="J320" s="224" t="n">
        <f aca="false">K320</f>
        <v>1</v>
      </c>
      <c r="K320" s="225" t="n">
        <f aca="false">_xlfn.IFNA(IF(B320&gt;=$K$11, 1,0),0)</f>
        <v>1</v>
      </c>
      <c r="L320" s="60" t="str">
        <f aca="false">IF(I320=0,1,"")</f>
        <v/>
      </c>
      <c r="P320" s="4" t="n">
        <f aca="false">IF(AND(G320&gt;E320, A320&lt;&gt;0, V320&lt;&gt;0), $N$5 * ($P$22 ^ V320 - 1), 0)</f>
        <v>0</v>
      </c>
      <c r="V320" s="71" t="n">
        <f aca="false">IF(B320&lt;EDATE($K$11,12), 0,  DATEDIF(EDATE($K$11,12), B320 + 1, "y") + 1 )</f>
        <v>20</v>
      </c>
    </row>
    <row r="321" customFormat="false" ht="12.75" hidden="false" customHeight="true" outlineLevel="0" collapsed="false">
      <c r="A321" s="228" t="n">
        <f aca="false">IF(OR(G320="",G320&lt;=0,C320&gt;150),NA(),A320+1)</f>
        <v>293</v>
      </c>
      <c r="B321" s="229" t="n">
        <f aca="false">IF(ISERROR(A321),"",IF($D$9="Annually",EDATE(B320,12),EDATE(B320,1)))</f>
        <v>55212</v>
      </c>
      <c r="C321" s="230" t="n">
        <f aca="false">IF(ISERROR(A321),"",C320+IF($D$9="Monthly",1/12,1))</f>
        <v>85.4666666666655</v>
      </c>
      <c r="D321" s="231" t="n">
        <f aca="false">IF(L320&lt;&gt;1, IF(G320&lt;E320,0,D320),IF(L320=1,IFERROR(ROUND(IF($G320 - (E320 * 6) &lt; 0, D320, ($G320 - (E320 * 6)) * $D$8 / 12),2),0) ) )</f>
        <v>14.67</v>
      </c>
      <c r="E321" s="231" t="n">
        <f aca="false">IF(ISERROR(A321), 0,  MAX(0,   MIN(    ROUND(G320 + D321, 2),    ROUND(FV($S$5, IF(type=1, A321, A320), , IF(J321&lt;&gt;1, -$D$20, -$P$16 + P321), 2), 0)   )  ) )</f>
        <v>31</v>
      </c>
      <c r="F321" s="231" t="n">
        <f aca="false">IF(J321&lt;&gt;1, "", IF(J320&lt;&gt;0, F320, $K$12))</f>
        <v>1</v>
      </c>
      <c r="G321" s="232" t="n">
        <f aca="false">IF(ISERROR(A321),"",ROUND(G320-E321+D321,2))</f>
        <v>3670.13</v>
      </c>
      <c r="H321" s="237" t="n">
        <f aca="false">IF(G321&gt;0,IFERROR(H320+(H320*($D$16/12)),""),"")</f>
        <v>29.9759823239394</v>
      </c>
      <c r="I321" s="223" t="n">
        <f aca="false">IF(ISERROR(A322),"",12 - MONTH(B321))</f>
        <v>10</v>
      </c>
      <c r="J321" s="224" t="n">
        <f aca="false">K321</f>
        <v>1</v>
      </c>
      <c r="K321" s="225" t="n">
        <f aca="false">_xlfn.IFNA(IF(B321&gt;=$K$11, 1,0),0)</f>
        <v>1</v>
      </c>
      <c r="L321" s="60" t="str">
        <f aca="false">IF(I321=0,1,"")</f>
        <v/>
      </c>
      <c r="P321" s="4" t="n">
        <f aca="false">IF(AND(G321&gt;E321, A321&lt;&gt;0, V321&lt;&gt;0), $N$5 * ($P$22 ^ V321 - 1), 0)</f>
        <v>0</v>
      </c>
      <c r="V321" s="71" t="n">
        <f aca="false">IF(B321&lt;EDATE($K$11,12), 0,  DATEDIF(EDATE($K$11,12), B321 + 1, "y") + 1 )</f>
        <v>20</v>
      </c>
    </row>
    <row r="322" customFormat="false" ht="12.75" hidden="false" customHeight="true" outlineLevel="0" collapsed="false">
      <c r="A322" s="228" t="n">
        <f aca="false">IF(OR(G321="",G321&lt;=0,C321&gt;150),NA(),A321+1)</f>
        <v>294</v>
      </c>
      <c r="B322" s="229" t="n">
        <f aca="false">IF(ISERROR(A322),"",IF($D$9="Annually",EDATE(B321,12),EDATE(B321,1)))</f>
        <v>55240</v>
      </c>
      <c r="C322" s="230" t="n">
        <f aca="false">IF(ISERROR(A322),"",C321+IF($D$9="Monthly",1/12,1))</f>
        <v>85.5499999999989</v>
      </c>
      <c r="D322" s="231" t="n">
        <f aca="false">IF(L321&lt;&gt;1, IF(G321&lt;E321,0,D321),IF(L321=1,IFERROR(ROUND(IF($G321 - (E321 * 6) &lt; 0, D321, ($G321 - (E321 * 6)) * $D$8 / 12),2),0) ) )</f>
        <v>14.67</v>
      </c>
      <c r="E322" s="231" t="n">
        <f aca="false">IF(ISERROR(A322), 0,  MAX(0,   MIN(    ROUND(G321 + D322, 2),    ROUND(FV($S$5, IF(type=1, A322, A321), , IF(J322&lt;&gt;1, -$D$20, -$P$16 + P322), 2), 0)   )  ) )</f>
        <v>31</v>
      </c>
      <c r="F322" s="231" t="n">
        <f aca="false">IF(J322&lt;&gt;1, "", IF(J321&lt;&gt;0, F321, $K$12))</f>
        <v>1</v>
      </c>
      <c r="G322" s="232" t="n">
        <f aca="false">IF(ISERROR(A322),"",ROUND(G321-E322+D322,2))</f>
        <v>3653.8</v>
      </c>
      <c r="H322" s="237" t="n">
        <f aca="false">IF(G322&gt;0,IFERROR(H321+(H321*($D$16/12)),""),"")</f>
        <v>30.0259422944793</v>
      </c>
      <c r="I322" s="223" t="n">
        <f aca="false">IF(ISERROR(A323),"",12 - MONTH(B322))</f>
        <v>9</v>
      </c>
      <c r="J322" s="224" t="n">
        <f aca="false">K322</f>
        <v>1</v>
      </c>
      <c r="K322" s="225" t="n">
        <f aca="false">_xlfn.IFNA(IF(B322&gt;=$K$11, 1,0),0)</f>
        <v>1</v>
      </c>
      <c r="L322" s="60" t="str">
        <f aca="false">IF(I322=0,1,"")</f>
        <v/>
      </c>
      <c r="P322" s="4" t="n">
        <f aca="false">IF(AND(G322&gt;E322, A322&lt;&gt;0, V322&lt;&gt;0), $N$5 * ($P$22 ^ V322 - 1), 0)</f>
        <v>0</v>
      </c>
      <c r="V322" s="71" t="n">
        <f aca="false">IF(B322&lt;EDATE($K$11,12), 0,  DATEDIF(EDATE($K$11,12), B322 + 1, "y") + 1 )</f>
        <v>20</v>
      </c>
    </row>
    <row r="323" customFormat="false" ht="12.75" hidden="false" customHeight="true" outlineLevel="0" collapsed="false">
      <c r="A323" s="228" t="n">
        <f aca="false">IF(OR(G322="",G322&lt;=0,C322&gt;150),NA(),A322+1)</f>
        <v>295</v>
      </c>
      <c r="B323" s="229" t="n">
        <f aca="false">IF(ISERROR(A323),"",IF($D$9="Annually",EDATE(B322,12),EDATE(B322,1)))</f>
        <v>55271</v>
      </c>
      <c r="C323" s="230" t="n">
        <f aca="false">IF(ISERROR(A323),"",C322+IF($D$9="Monthly",1/12,1))</f>
        <v>85.6333333333322</v>
      </c>
      <c r="D323" s="231" t="n">
        <f aca="false">IF(L322&lt;&gt;1, IF(G322&lt;E322,0,D322),IF(L322=1,IFERROR(ROUND(IF($G322 - (E322 * 6) &lt; 0, D322, ($G322 - (E322 * 6)) * $D$8 / 12),2),0) ) )</f>
        <v>14.67</v>
      </c>
      <c r="E323" s="231" t="n">
        <f aca="false">IF(ISERROR(A323), 0,  MAX(0,   MIN(    ROUND(G322 + D323, 2),    ROUND(FV($S$5, IF(type=1, A323, A322), , IF(J323&lt;&gt;1, -$D$20, -$P$16 + P323), 2), 0)   )  ) )</f>
        <v>31</v>
      </c>
      <c r="F323" s="231" t="n">
        <f aca="false">IF(J323&lt;&gt;1, "", IF(J322&lt;&gt;0, F322, $K$12))</f>
        <v>1</v>
      </c>
      <c r="G323" s="232" t="n">
        <f aca="false">IF(ISERROR(A323),"",ROUND(G322-E323+D323,2))</f>
        <v>3637.47</v>
      </c>
      <c r="H323" s="237" t="n">
        <f aca="false">IF(G323&gt;0,IFERROR(H322+(H322*($D$16/12)),""),"")</f>
        <v>30.0759855316368</v>
      </c>
      <c r="I323" s="223" t="n">
        <f aca="false">IF(ISERROR(A324),"",12 - MONTH(B323))</f>
        <v>8</v>
      </c>
      <c r="J323" s="224" t="n">
        <f aca="false">K323</f>
        <v>1</v>
      </c>
      <c r="K323" s="225" t="n">
        <f aca="false">_xlfn.IFNA(IF(B323&gt;=$K$11, 1,0),0)</f>
        <v>1</v>
      </c>
      <c r="L323" s="60" t="str">
        <f aca="false">IF(I323=0,1,"")</f>
        <v/>
      </c>
      <c r="P323" s="4" t="n">
        <f aca="false">IF(AND(G323&gt;E323, A323&lt;&gt;0, V323&lt;&gt;0), $N$5 * ($P$22 ^ V323 - 1), 0)</f>
        <v>0</v>
      </c>
      <c r="V323" s="71" t="n">
        <f aca="false">IF(B323&lt;EDATE($K$11,12), 0,  DATEDIF(EDATE($K$11,12), B323 + 1, "y") + 1 )</f>
        <v>20</v>
      </c>
    </row>
    <row r="324" customFormat="false" ht="12.75" hidden="false" customHeight="true" outlineLevel="0" collapsed="false">
      <c r="A324" s="228" t="n">
        <f aca="false">IF(OR(G323="",G323&lt;=0,C323&gt;150),NA(),A323+1)</f>
        <v>296</v>
      </c>
      <c r="B324" s="229" t="n">
        <f aca="false">IF(ISERROR(A324),"",IF($D$9="Annually",EDATE(B323,12),EDATE(B323,1)))</f>
        <v>55301</v>
      </c>
      <c r="C324" s="230" t="n">
        <f aca="false">IF(ISERROR(A324),"",C323+IF($D$9="Monthly",1/12,1))</f>
        <v>85.7166666666655</v>
      </c>
      <c r="D324" s="231" t="n">
        <f aca="false">IF(L323&lt;&gt;1, IF(G323&lt;E323,0,D323),IF(L323=1,IFERROR(ROUND(IF($G323 - (E323 * 6) &lt; 0, D323, ($G323 - (E323 * 6)) * $D$8 / 12),2),0) ) )</f>
        <v>14.67</v>
      </c>
      <c r="E324" s="231" t="n">
        <f aca="false">IF(ISERROR(A324), 0,  MAX(0,   MIN(    ROUND(G323 + D324, 2),    ROUND(FV($S$5, IF(type=1, A324, A323), , IF(J324&lt;&gt;1, -$D$20, -$P$16 + P324), 2), 0)   )  ) )</f>
        <v>31</v>
      </c>
      <c r="F324" s="231" t="n">
        <f aca="false">IF(J324&lt;&gt;1, "", IF(J323&lt;&gt;0, F323, $K$12))</f>
        <v>1</v>
      </c>
      <c r="G324" s="232" t="n">
        <f aca="false">IF(ISERROR(A324),"",ROUND(G323-E324+D324,2))</f>
        <v>3621.14</v>
      </c>
      <c r="H324" s="237" t="n">
        <f aca="false">IF(G324&gt;0,IFERROR(H323+(H323*($D$16/12)),""),"")</f>
        <v>30.1261121741895</v>
      </c>
      <c r="I324" s="223" t="n">
        <f aca="false">IF(ISERROR(A325),"",12 - MONTH(B324))</f>
        <v>7</v>
      </c>
      <c r="J324" s="224" t="n">
        <f aca="false">K324</f>
        <v>1</v>
      </c>
      <c r="K324" s="225" t="n">
        <f aca="false">_xlfn.IFNA(IF(B324&gt;=$K$11, 1,0),0)</f>
        <v>1</v>
      </c>
      <c r="L324" s="60" t="str">
        <f aca="false">IF(I324=0,1,"")</f>
        <v/>
      </c>
      <c r="P324" s="4" t="n">
        <f aca="false">IF(AND(G324&gt;E324, A324&lt;&gt;0, V324&lt;&gt;0), $N$5 * ($P$22 ^ V324 - 1), 0)</f>
        <v>0</v>
      </c>
      <c r="V324" s="71" t="n">
        <f aca="false">IF(B324&lt;EDATE($K$11,12), 0,  DATEDIF(EDATE($K$11,12), B324 + 1, "y") + 1 )</f>
        <v>20</v>
      </c>
    </row>
    <row r="325" customFormat="false" ht="12.75" hidden="false" customHeight="true" outlineLevel="0" collapsed="false">
      <c r="A325" s="228" t="n">
        <f aca="false">IF(OR(G324="",G324&lt;=0,C324&gt;150),NA(),A324+1)</f>
        <v>297</v>
      </c>
      <c r="B325" s="229" t="n">
        <f aca="false">IF(ISERROR(A325),"",IF($D$9="Annually",EDATE(B324,12),EDATE(B324,1)))</f>
        <v>55332</v>
      </c>
      <c r="C325" s="230" t="n">
        <f aca="false">IF(ISERROR(A325),"",C324+IF($D$9="Monthly",1/12,1))</f>
        <v>85.7999999999989</v>
      </c>
      <c r="D325" s="231" t="n">
        <f aca="false">IF(L324&lt;&gt;1, IF(G324&lt;E324,0,D324),IF(L324=1,IFERROR(ROUND(IF($G324 - (E324 * 6) &lt; 0, D324, ($G324 - (E324 * 6)) * $D$8 / 12),2),0) ) )</f>
        <v>14.67</v>
      </c>
      <c r="E325" s="231" t="n">
        <f aca="false">IF(ISERROR(A325), 0,  MAX(0,   MIN(    ROUND(G324 + D325, 2),    ROUND(FV($S$5, IF(type=1, A325, A324), , IF(J325&lt;&gt;1, -$D$20, -$P$16 + P325), 2), 0)   )  ) )</f>
        <v>31</v>
      </c>
      <c r="F325" s="231" t="n">
        <f aca="false">IF(J325&lt;&gt;1, "", IF(J324&lt;&gt;0, F324, $K$12))</f>
        <v>1</v>
      </c>
      <c r="G325" s="232" t="n">
        <f aca="false">IF(ISERROR(A325),"",ROUND(G324-E325+D325,2))</f>
        <v>3604.81</v>
      </c>
      <c r="H325" s="237" t="n">
        <f aca="false">IF(G325&gt;0,IFERROR(H324+(H324*($D$16/12)),""),"")</f>
        <v>30.1763223611465</v>
      </c>
      <c r="I325" s="223" t="n">
        <f aca="false">IF(ISERROR(A326),"",12 - MONTH(B325))</f>
        <v>6</v>
      </c>
      <c r="J325" s="224" t="n">
        <f aca="false">K325</f>
        <v>1</v>
      </c>
      <c r="K325" s="225" t="n">
        <f aca="false">_xlfn.IFNA(IF(B325&gt;=$K$11, 1,0),0)</f>
        <v>1</v>
      </c>
      <c r="L325" s="60" t="str">
        <f aca="false">IF(I325=0,1,"")</f>
        <v/>
      </c>
      <c r="P325" s="4" t="n">
        <f aca="false">IF(AND(G325&gt;E325, A325&lt;&gt;0, V325&lt;&gt;0), $N$5 * ($P$22 ^ V325 - 1), 0)</f>
        <v>0</v>
      </c>
      <c r="V325" s="71" t="n">
        <f aca="false">IF(B325&lt;EDATE($K$11,12), 0,  DATEDIF(EDATE($K$11,12), B325 + 1, "y") + 1 )</f>
        <v>20</v>
      </c>
    </row>
    <row r="326" customFormat="false" ht="12.75" hidden="false" customHeight="true" outlineLevel="0" collapsed="false">
      <c r="A326" s="228" t="n">
        <f aca="false">IF(OR(G325="",G325&lt;=0,C325&gt;150),NA(),A325+1)</f>
        <v>298</v>
      </c>
      <c r="B326" s="229" t="n">
        <f aca="false">IF(ISERROR(A326),"",IF($D$9="Annually",EDATE(B325,12),EDATE(B325,1)))</f>
        <v>55362</v>
      </c>
      <c r="C326" s="230" t="n">
        <f aca="false">IF(ISERROR(A326),"",C325+IF($D$9="Monthly",1/12,1))</f>
        <v>85.8833333333322</v>
      </c>
      <c r="D326" s="231" t="n">
        <f aca="false">IF(L325&lt;&gt;1, IF(G325&lt;E325,0,D325),IF(L325=1,IFERROR(ROUND(IF($G325 - (E325 * 6) &lt; 0, D325, ($G325 - (E325 * 6)) * $D$8 / 12),2),0) ) )</f>
        <v>14.67</v>
      </c>
      <c r="E326" s="231" t="n">
        <f aca="false">IF(ISERROR(A326), 0,  MAX(0,   MIN(    ROUND(G325 + D326, 2),    ROUND(FV($S$5, IF(type=1, A326, A325), , IF(J326&lt;&gt;1, -$D$20, -$P$16 + P326), 2), 0)   )  ) )</f>
        <v>31</v>
      </c>
      <c r="F326" s="231" t="n">
        <f aca="false">IF(J326&lt;&gt;1, "", IF(J325&lt;&gt;0, F325, $K$12))</f>
        <v>1</v>
      </c>
      <c r="G326" s="232" t="n">
        <f aca="false">IF(ISERROR(A326),"",ROUND(G325-E326+D326,2))</f>
        <v>3588.48</v>
      </c>
      <c r="H326" s="237" t="n">
        <f aca="false">IF(G326&gt;0,IFERROR(H325+(H325*($D$16/12)),""),"")</f>
        <v>30.2266162317484</v>
      </c>
      <c r="I326" s="223" t="n">
        <f aca="false">IF(ISERROR(A327),"",12 - MONTH(B326))</f>
        <v>5</v>
      </c>
      <c r="J326" s="224" t="n">
        <f aca="false">K326</f>
        <v>1</v>
      </c>
      <c r="K326" s="225" t="n">
        <f aca="false">_xlfn.IFNA(IF(B326&gt;=$K$11, 1,0),0)</f>
        <v>1</v>
      </c>
      <c r="L326" s="60" t="str">
        <f aca="false">IF(I326=0,1,"")</f>
        <v/>
      </c>
      <c r="P326" s="4" t="n">
        <f aca="false">IF(AND(G326&gt;E326, A326&lt;&gt;0, V326&lt;&gt;0), $N$5 * ($P$22 ^ V326 - 1), 0)</f>
        <v>0</v>
      </c>
      <c r="V326" s="71" t="n">
        <f aca="false">IF(B326&lt;EDATE($K$11,12), 0,  DATEDIF(EDATE($K$11,12), B326 + 1, "y") + 1 )</f>
        <v>20</v>
      </c>
    </row>
    <row r="327" customFormat="false" ht="12.75" hidden="false" customHeight="true" outlineLevel="0" collapsed="false">
      <c r="A327" s="228" t="n">
        <f aca="false">IF(OR(G326="",G326&lt;=0,C326&gt;150),NA(),A326+1)</f>
        <v>299</v>
      </c>
      <c r="B327" s="229" t="n">
        <f aca="false">IF(ISERROR(A327),"",IF($D$9="Annually",EDATE(B326,12),EDATE(B326,1)))</f>
        <v>55393</v>
      </c>
      <c r="C327" s="230" t="n">
        <f aca="false">IF(ISERROR(A327),"",C326+IF($D$9="Monthly",1/12,1))</f>
        <v>85.9666666666655</v>
      </c>
      <c r="D327" s="231" t="n">
        <f aca="false">IF(L326&lt;&gt;1, IF(G326&lt;E326,0,D326),IF(L326=1,IFERROR(ROUND(IF($G326 - (E326 * 6) &lt; 0, D326, ($G326 - (E326 * 6)) * $D$8 / 12),2),0) ) )</f>
        <v>14.67</v>
      </c>
      <c r="E327" s="231" t="n">
        <f aca="false">IF(ISERROR(A327), 0,  MAX(0,   MIN(    ROUND(G326 + D327, 2),    ROUND(FV($S$5, IF(type=1, A327, A326), , IF(J327&lt;&gt;1, -$D$20, -$P$16 + P327), 2), 0)   )  ) )</f>
        <v>31</v>
      </c>
      <c r="F327" s="231" t="n">
        <f aca="false">IF(J327&lt;&gt;1, "", IF(J326&lt;&gt;0, F326, $K$12))</f>
        <v>1</v>
      </c>
      <c r="G327" s="232" t="n">
        <f aca="false">IF(ISERROR(A327),"",ROUND(G326-E327+D327,2))</f>
        <v>3572.15</v>
      </c>
      <c r="H327" s="237" t="n">
        <f aca="false">IF(G327&gt;0,IFERROR(H326+(H326*($D$16/12)),""),"")</f>
        <v>30.276993925468</v>
      </c>
      <c r="I327" s="223" t="n">
        <f aca="false">IF(ISERROR(A328),"",12 - MONTH(B327))</f>
        <v>4</v>
      </c>
      <c r="J327" s="224" t="n">
        <f aca="false">K327</f>
        <v>1</v>
      </c>
      <c r="K327" s="225" t="n">
        <f aca="false">_xlfn.IFNA(IF(B327&gt;=$K$11, 1,0),0)</f>
        <v>1</v>
      </c>
      <c r="L327" s="60" t="str">
        <f aca="false">IF(I327=0,1,"")</f>
        <v/>
      </c>
      <c r="P327" s="4" t="n">
        <f aca="false">IF(AND(G327&gt;E327, A327&lt;&gt;0, V327&lt;&gt;0), $N$5 * ($P$22 ^ V327 - 1), 0)</f>
        <v>0</v>
      </c>
      <c r="V327" s="71" t="n">
        <f aca="false">IF(B327&lt;EDATE($K$11,12), 0,  DATEDIF(EDATE($K$11,12), B327 + 1, "y") + 1 )</f>
        <v>20</v>
      </c>
    </row>
    <row r="328" customFormat="false" ht="12.75" hidden="false" customHeight="true" outlineLevel="0" collapsed="false">
      <c r="A328" s="228" t="n">
        <f aca="false">IF(OR(G327="",G327&lt;=0,C327&gt;150),NA(),A327+1)</f>
        <v>300</v>
      </c>
      <c r="B328" s="229" t="n">
        <f aca="false">IF(ISERROR(A328),"",IF($D$9="Annually",EDATE(B327,12),EDATE(B327,1)))</f>
        <v>55424</v>
      </c>
      <c r="C328" s="230" t="n">
        <f aca="false">IF(ISERROR(A328),"",C327+IF($D$9="Monthly",1/12,1))</f>
        <v>86.0499999999988</v>
      </c>
      <c r="D328" s="231" t="n">
        <f aca="false">IF(L327&lt;&gt;1, IF(G327&lt;E327,0,D327),IF(L327=1,IFERROR(ROUND(IF($G327 - (E327 * 6) &lt; 0, D327, ($G327 - (E327 * 6)) * $D$8 / 12),2),0) ) )</f>
        <v>14.67</v>
      </c>
      <c r="E328" s="231" t="n">
        <f aca="false">IF(ISERROR(A328), 0,  MAX(0,   MIN(    ROUND(G327 + D328, 2),    ROUND(FV($S$5, IF(type=1, A328, A327), , IF(J328&lt;&gt;1, -$D$20, -$P$16 + P328), 2), 0)   )  ) )</f>
        <v>31</v>
      </c>
      <c r="F328" s="231" t="n">
        <f aca="false">IF(J328&lt;&gt;1, "", IF(J327&lt;&gt;0, F327, $K$12))</f>
        <v>1</v>
      </c>
      <c r="G328" s="232" t="n">
        <f aca="false">IF(ISERROR(A328),"",ROUND(G327-E328+D328,2))</f>
        <v>3555.82</v>
      </c>
      <c r="H328" s="237" t="n">
        <f aca="false">IF(G328&gt;0,IFERROR(H327+(H327*($D$16/12)),""),"")</f>
        <v>30.3274555820104</v>
      </c>
      <c r="I328" s="223" t="n">
        <f aca="false">IF(ISERROR(A329),"",12 - MONTH(B328))</f>
        <v>3</v>
      </c>
      <c r="J328" s="224" t="n">
        <f aca="false">K328</f>
        <v>1</v>
      </c>
      <c r="K328" s="225" t="n">
        <f aca="false">_xlfn.IFNA(IF(B328&gt;=$K$11, 1,0),0)</f>
        <v>1</v>
      </c>
      <c r="L328" s="60" t="str">
        <f aca="false">IF(I328=0,1,"")</f>
        <v/>
      </c>
      <c r="P328" s="4" t="n">
        <f aca="false">IF(AND(G328&gt;E328, A328&lt;&gt;0, V328&lt;&gt;0), $N$5 * ($P$22 ^ V328 - 1), 0)</f>
        <v>0</v>
      </c>
      <c r="V328" s="71" t="n">
        <f aca="false">IF(B328&lt;EDATE($K$11,12), 0,  DATEDIF(EDATE($K$11,12), B328 + 1, "y") + 1 )</f>
        <v>20</v>
      </c>
    </row>
    <row r="329" customFormat="false" ht="12.75" hidden="false" customHeight="true" outlineLevel="0" collapsed="false">
      <c r="A329" s="228" t="n">
        <f aca="false">IF(OR(G328="",G328&lt;=0,C328&gt;150),NA(),A328+1)</f>
        <v>301</v>
      </c>
      <c r="B329" s="229" t="n">
        <f aca="false">IF(ISERROR(A329),"",IF($D$9="Annually",EDATE(B328,12),EDATE(B328,1)))</f>
        <v>55454</v>
      </c>
      <c r="C329" s="230" t="n">
        <f aca="false">IF(ISERROR(A329),"",C328+IF($D$9="Monthly",1/12,1))</f>
        <v>86.1333333333322</v>
      </c>
      <c r="D329" s="231" t="n">
        <f aca="false">IF(L328&lt;&gt;1, IF(G328&lt;E328,0,D328),IF(L328=1,IFERROR(ROUND(IF($G328 - (E328 * 6) &lt; 0, D328, ($G328 - (E328 * 6)) * $D$8 / 12),2),0) ) )</f>
        <v>14.67</v>
      </c>
      <c r="E329" s="231" t="n">
        <f aca="false">IF(ISERROR(A329), 0,  MAX(0,   MIN(    ROUND(G328 + D329, 2),    ROUND(FV($S$5, IF(type=1, A329, A328), , IF(J329&lt;&gt;1, -$D$20, -$P$16 + P329), 2), 0)   )  ) )</f>
        <v>31</v>
      </c>
      <c r="F329" s="231" t="n">
        <f aca="false">IF(J329&lt;&gt;1, "", IF(J328&lt;&gt;0, F328, $K$12))</f>
        <v>1</v>
      </c>
      <c r="G329" s="232" t="n">
        <f aca="false">IF(ISERROR(A329),"",ROUND(G328-E329+D329,2))</f>
        <v>3539.49</v>
      </c>
      <c r="H329" s="237" t="n">
        <f aca="false">IF(G329&gt;0,IFERROR(H328+(H328*($D$16/12)),""),"")</f>
        <v>30.3780013413138</v>
      </c>
      <c r="I329" s="223" t="n">
        <f aca="false">IF(ISERROR(A330),"",12 - MONTH(B329))</f>
        <v>2</v>
      </c>
      <c r="J329" s="224" t="n">
        <f aca="false">K329</f>
        <v>1</v>
      </c>
      <c r="K329" s="225" t="n">
        <f aca="false">_xlfn.IFNA(IF(B329&gt;=$K$11, 1,0),0)</f>
        <v>1</v>
      </c>
      <c r="L329" s="60" t="str">
        <f aca="false">IF(I329=0,1,"")</f>
        <v/>
      </c>
      <c r="P329" s="4" t="n">
        <f aca="false">IF(AND(G329&gt;E329, A329&lt;&gt;0, V329&lt;&gt;0), $N$5 * ($P$22 ^ V329 - 1), 0)</f>
        <v>0</v>
      </c>
      <c r="V329" s="71" t="n">
        <f aca="false">IF(B329&lt;EDATE($K$11,12), 0,  DATEDIF(EDATE($K$11,12), B329 + 1, "y") + 1 )</f>
        <v>20</v>
      </c>
    </row>
    <row r="330" customFormat="false" ht="12.75" hidden="false" customHeight="true" outlineLevel="0" collapsed="false">
      <c r="A330" s="228" t="n">
        <f aca="false">IF(OR(G329="",G329&lt;=0,C329&gt;150),NA(),A329+1)</f>
        <v>302</v>
      </c>
      <c r="B330" s="229" t="n">
        <f aca="false">IF(ISERROR(A330),"",IF($D$9="Annually",EDATE(B329,12),EDATE(B329,1)))</f>
        <v>55485</v>
      </c>
      <c r="C330" s="230" t="n">
        <f aca="false">IF(ISERROR(A330),"",C329+IF($D$9="Monthly",1/12,1))</f>
        <v>86.2166666666655</v>
      </c>
      <c r="D330" s="231" t="n">
        <f aca="false">IF(L329&lt;&gt;1, IF(G329&lt;E329,0,D329),IF(L329=1,IFERROR(ROUND(IF($G329 - (E329 * 6) &lt; 0, D329, ($G329 - (E329 * 6)) * $D$8 / 12),2),0) ) )</f>
        <v>14.67</v>
      </c>
      <c r="E330" s="231" t="n">
        <f aca="false">IF(ISERROR(A330), 0,  MAX(0,   MIN(    ROUND(G329 + D330, 2),    ROUND(FV($S$5, IF(type=1, A330, A329), , IF(J330&lt;&gt;1, -$D$20, -$P$16 + P330), 2), 0)   )  ) )</f>
        <v>31</v>
      </c>
      <c r="F330" s="231" t="n">
        <f aca="false">IF(J330&lt;&gt;1, "", IF(J329&lt;&gt;0, F329, $K$12))</f>
        <v>1</v>
      </c>
      <c r="G330" s="232" t="n">
        <f aca="false">IF(ISERROR(A330),"",ROUND(G329-E330+D330,2))</f>
        <v>3523.16</v>
      </c>
      <c r="H330" s="237" t="n">
        <f aca="false">IF(G330&gt;0,IFERROR(H329+(H329*($D$16/12)),""),"")</f>
        <v>30.4286313435493</v>
      </c>
      <c r="I330" s="223" t="n">
        <f aca="false">IF(ISERROR(A331),"",12 - MONTH(B330))</f>
        <v>1</v>
      </c>
      <c r="J330" s="224" t="n">
        <f aca="false">K330</f>
        <v>1</v>
      </c>
      <c r="K330" s="225" t="n">
        <f aca="false">_xlfn.IFNA(IF(B330&gt;=$K$11, 1,0),0)</f>
        <v>1</v>
      </c>
      <c r="L330" s="60" t="str">
        <f aca="false">IF(I330=0,1,"")</f>
        <v/>
      </c>
      <c r="P330" s="4" t="n">
        <f aca="false">IF(AND(G330&gt;E330, A330&lt;&gt;0, V330&lt;&gt;0), $N$5 * ($P$22 ^ V330 - 1), 0)</f>
        <v>0</v>
      </c>
      <c r="V330" s="71" t="n">
        <f aca="false">IF(B330&lt;EDATE($K$11,12), 0,  DATEDIF(EDATE($K$11,12), B330 + 1, "y") + 1 )</f>
        <v>20</v>
      </c>
    </row>
    <row r="331" customFormat="false" ht="12.75" hidden="false" customHeight="true" outlineLevel="0" collapsed="false">
      <c r="A331" s="228" t="n">
        <f aca="false">IF(OR(G330="",G330&lt;=0,C330&gt;150),NA(),A330+1)</f>
        <v>303</v>
      </c>
      <c r="B331" s="229" t="n">
        <f aca="false">IF(ISERROR(A331),"",IF($D$9="Annually",EDATE(B330,12),EDATE(B330,1)))</f>
        <v>55515</v>
      </c>
      <c r="C331" s="230" t="n">
        <f aca="false">IF(ISERROR(A331),"",C330+IF($D$9="Monthly",1/12,1))</f>
        <v>86.2999999999988</v>
      </c>
      <c r="D331" s="231" t="n">
        <f aca="false">IF(L330&lt;&gt;1, IF(G330&lt;E330,0,D330),IF(L330=1,IFERROR(ROUND(IF($G330 - (E330 * 6) &lt; 0, D330, ($G330 - (E330 * 6)) * $D$8 / 12),2),0) ) )</f>
        <v>14.67</v>
      </c>
      <c r="E331" s="231" t="n">
        <f aca="false">IF(ISERROR(A331), 0,  MAX(0,   MIN(    ROUND(G330 + D331, 2),    ROUND(FV($S$5, IF(type=1, A331, A330), , IF(J331&lt;&gt;1, -$D$20, -$P$16 + P331), 2), 0)   )  ) )</f>
        <v>31</v>
      </c>
      <c r="F331" s="231" t="n">
        <f aca="false">IF(J331&lt;&gt;1, "", IF(J330&lt;&gt;0, F330, $K$12))</f>
        <v>1</v>
      </c>
      <c r="G331" s="232" t="n">
        <f aca="false">IF(ISERROR(A331),"",ROUND(G330-E331+D331,2))</f>
        <v>3506.83</v>
      </c>
      <c r="H331" s="237" t="n">
        <f aca="false">IF(G331&gt;0,IFERROR(H330+(H330*($D$16/12)),""),"")</f>
        <v>30.4793457291219</v>
      </c>
      <c r="I331" s="223" t="n">
        <f aca="false">IF(ISERROR(A332),"",12 - MONTH(B331))</f>
        <v>0</v>
      </c>
      <c r="J331" s="224" t="n">
        <f aca="false">K331</f>
        <v>1</v>
      </c>
      <c r="K331" s="225" t="n">
        <f aca="false">_xlfn.IFNA(IF(B331&gt;=$K$11, 1,0),0)</f>
        <v>1</v>
      </c>
      <c r="L331" s="60" t="n">
        <f aca="false">IF(I331=0,1,"")</f>
        <v>1</v>
      </c>
      <c r="P331" s="4" t="n">
        <f aca="false">IF(AND(G331&gt;E331, A331&lt;&gt;0, V331&lt;&gt;0), $N$5 * ($P$22 ^ V331 - 1), 0)</f>
        <v>0</v>
      </c>
      <c r="V331" s="71" t="n">
        <f aca="false">IF(B331&lt;EDATE($K$11,12), 0,  DATEDIF(EDATE($K$11,12), B331 + 1, "y") + 1 )</f>
        <v>20</v>
      </c>
    </row>
    <row r="332" customFormat="false" ht="12.75" hidden="false" customHeight="true" outlineLevel="0" collapsed="false">
      <c r="A332" s="228" t="n">
        <f aca="false">IF(OR(G331="",G331&lt;=0,C331&gt;150),NA(),A331+1)</f>
        <v>304</v>
      </c>
      <c r="B332" s="229" t="n">
        <f aca="false">IF(ISERROR(A332),"",IF($D$9="Annually",EDATE(B331,12),EDATE(B331,1)))</f>
        <v>55546</v>
      </c>
      <c r="C332" s="230" t="n">
        <f aca="false">IF(ISERROR(A332),"",C331+IF($D$9="Monthly",1/12,1))</f>
        <v>86.3833333333322</v>
      </c>
      <c r="D332" s="231" t="n">
        <f aca="false">IF(L331&lt;&gt;1, IF(G331&lt;E331,0,D331),IF(L331=1,IFERROR(ROUND(IF($G331 - (E331 * 6) &lt; 0, D331, ($G331 - (E331 * 6)) * $D$8 / 12),2),0) ) )</f>
        <v>13.84</v>
      </c>
      <c r="E332" s="231" t="n">
        <f aca="false">IF(ISERROR(A332), 0,  MAX(0,   MIN(    ROUND(G331 + D332, 2),    ROUND(FV($S$5, IF(type=1, A332, A331), , IF(J332&lt;&gt;1, -$D$20, -$P$16 + P332), 2), 0)   )  ) )</f>
        <v>31</v>
      </c>
      <c r="F332" s="231" t="n">
        <f aca="false">IF(J332&lt;&gt;1, "", IF(J331&lt;&gt;0, F331, $K$12))</f>
        <v>1</v>
      </c>
      <c r="G332" s="232" t="n">
        <f aca="false">IF(ISERROR(A332),"",ROUND(G331-E332+D332,2))</f>
        <v>3489.67</v>
      </c>
      <c r="H332" s="237" t="n">
        <f aca="false">IF(G332&gt;0,IFERROR(H331+(H331*($D$16/12)),""),"")</f>
        <v>30.5301446386704</v>
      </c>
      <c r="I332" s="223" t="n">
        <f aca="false">IF(ISERROR(A333),"",12 - MONTH(B332))</f>
        <v>11</v>
      </c>
      <c r="J332" s="224" t="n">
        <f aca="false">K332</f>
        <v>1</v>
      </c>
      <c r="K332" s="225" t="n">
        <f aca="false">_xlfn.IFNA(IF(B332&gt;=$K$11, 1,0),0)</f>
        <v>1</v>
      </c>
      <c r="L332" s="60" t="str">
        <f aca="false">IF(I332=0,1,"")</f>
        <v/>
      </c>
      <c r="P332" s="4" t="n">
        <f aca="false">IF(AND(G332&gt;E332, A332&lt;&gt;0, V332&lt;&gt;0), $N$5 * ($P$22 ^ V332 - 1), 0)</f>
        <v>0</v>
      </c>
      <c r="V332" s="71" t="n">
        <f aca="false">IF(B332&lt;EDATE($K$11,12), 0,  DATEDIF(EDATE($K$11,12), B332 + 1, "y") + 1 )</f>
        <v>21</v>
      </c>
    </row>
    <row r="333" customFormat="false" ht="12.75" hidden="false" customHeight="true" outlineLevel="0" collapsed="false">
      <c r="A333" s="228" t="n">
        <f aca="false">IF(OR(G332="",G332&lt;=0,C332&gt;150),NA(),A332+1)</f>
        <v>305</v>
      </c>
      <c r="B333" s="229" t="n">
        <f aca="false">IF(ISERROR(A333),"",IF($D$9="Annually",EDATE(B332,12),EDATE(B332,1)))</f>
        <v>55577</v>
      </c>
      <c r="C333" s="230" t="n">
        <f aca="false">IF(ISERROR(A333),"",C332+IF($D$9="Monthly",1/12,1))</f>
        <v>86.4666666666655</v>
      </c>
      <c r="D333" s="231" t="n">
        <f aca="false">IF(L332&lt;&gt;1, IF(G332&lt;E332,0,D332),IF(L332=1,IFERROR(ROUND(IF($G332 - (E332 * 6) &lt; 0, D332, ($G332 - (E332 * 6)) * $D$8 / 12),2),0) ) )</f>
        <v>13.84</v>
      </c>
      <c r="E333" s="231" t="n">
        <f aca="false">IF(ISERROR(A333), 0,  MAX(0,   MIN(    ROUND(G332 + D333, 2),    ROUND(FV($S$5, IF(type=1, A333, A332), , IF(J333&lt;&gt;1, -$D$20, -$P$16 + P333), 2), 0)   )  ) )</f>
        <v>31</v>
      </c>
      <c r="F333" s="231" t="n">
        <f aca="false">IF(J333&lt;&gt;1, "", IF(J332&lt;&gt;0, F332, $K$12))</f>
        <v>1</v>
      </c>
      <c r="G333" s="232" t="n">
        <f aca="false">IF(ISERROR(A333),"",ROUND(G332-E333+D333,2))</f>
        <v>3472.51</v>
      </c>
      <c r="H333" s="237" t="n">
        <f aca="false">IF(G333&gt;0,IFERROR(H332+(H332*($D$16/12)),""),"")</f>
        <v>30.5810282130682</v>
      </c>
      <c r="I333" s="223" t="n">
        <f aca="false">IF(ISERROR(A334),"",12 - MONTH(B333))</f>
        <v>10</v>
      </c>
      <c r="J333" s="224" t="n">
        <f aca="false">K333</f>
        <v>1</v>
      </c>
      <c r="K333" s="225" t="n">
        <f aca="false">_xlfn.IFNA(IF(B333&gt;=$K$11, 1,0),0)</f>
        <v>1</v>
      </c>
      <c r="L333" s="60" t="str">
        <f aca="false">IF(I333=0,1,"")</f>
        <v/>
      </c>
      <c r="P333" s="4" t="n">
        <f aca="false">IF(AND(G333&gt;E333, A333&lt;&gt;0, V333&lt;&gt;0), $N$5 * ($P$22 ^ V333 - 1), 0)</f>
        <v>0</v>
      </c>
      <c r="V333" s="71" t="n">
        <f aca="false">IF(B333&lt;EDATE($K$11,12), 0,  DATEDIF(EDATE($K$11,12), B333 + 1, "y") + 1 )</f>
        <v>21</v>
      </c>
    </row>
    <row r="334" customFormat="false" ht="12.75" hidden="false" customHeight="true" outlineLevel="0" collapsed="false">
      <c r="A334" s="228" t="n">
        <f aca="false">IF(OR(G333="",G333&lt;=0,C333&gt;150),NA(),A333+1)</f>
        <v>306</v>
      </c>
      <c r="B334" s="229" t="n">
        <f aca="false">IF(ISERROR(A334),"",IF($D$9="Annually",EDATE(B333,12),EDATE(B333,1)))</f>
        <v>55606</v>
      </c>
      <c r="C334" s="230" t="n">
        <f aca="false">IF(ISERROR(A334),"",C333+IF($D$9="Monthly",1/12,1))</f>
        <v>86.5499999999988</v>
      </c>
      <c r="D334" s="231" t="n">
        <f aca="false">IF(L333&lt;&gt;1, IF(G333&lt;E333,0,D333),IF(L333=1,IFERROR(ROUND(IF($G333 - (E333 * 6) &lt; 0, D333, ($G333 - (E333 * 6)) * $D$8 / 12),2),0) ) )</f>
        <v>13.84</v>
      </c>
      <c r="E334" s="231" t="n">
        <f aca="false">IF(ISERROR(A334), 0,  MAX(0,   MIN(    ROUND(G333 + D334, 2),    ROUND(FV($S$5, IF(type=1, A334, A333), , IF(J334&lt;&gt;1, -$D$20, -$P$16 + P334), 2), 0)   )  ) )</f>
        <v>31</v>
      </c>
      <c r="F334" s="231" t="n">
        <f aca="false">IF(J334&lt;&gt;1, "", IF(J333&lt;&gt;0, F333, $K$12))</f>
        <v>1</v>
      </c>
      <c r="G334" s="232" t="n">
        <f aca="false">IF(ISERROR(A334),"",ROUND(G333-E334+D334,2))</f>
        <v>3455.35</v>
      </c>
      <c r="H334" s="237" t="n">
        <f aca="false">IF(G334&gt;0,IFERROR(H333+(H333*($D$16/12)),""),"")</f>
        <v>30.6319965934233</v>
      </c>
      <c r="I334" s="223" t="n">
        <f aca="false">IF(ISERROR(A335),"",12 - MONTH(B334))</f>
        <v>9</v>
      </c>
      <c r="J334" s="224" t="n">
        <f aca="false">K334</f>
        <v>1</v>
      </c>
      <c r="K334" s="225" t="n">
        <f aca="false">_xlfn.IFNA(IF(B334&gt;=$K$11, 1,0),0)</f>
        <v>1</v>
      </c>
      <c r="L334" s="60" t="str">
        <f aca="false">IF(I334=0,1,"")</f>
        <v/>
      </c>
      <c r="P334" s="4" t="n">
        <f aca="false">IF(AND(G334&gt;E334, A334&lt;&gt;0, V334&lt;&gt;0), $N$5 * ($P$22 ^ V334 - 1), 0)</f>
        <v>0</v>
      </c>
      <c r="V334" s="71" t="n">
        <f aca="false">IF(B334&lt;EDATE($K$11,12), 0,  DATEDIF(EDATE($K$11,12), B334 + 1, "y") + 1 )</f>
        <v>21</v>
      </c>
    </row>
    <row r="335" customFormat="false" ht="12.75" hidden="false" customHeight="true" outlineLevel="0" collapsed="false">
      <c r="A335" s="228" t="n">
        <f aca="false">IF(OR(G334="",G334&lt;=0,C334&gt;150),NA(),A334+1)</f>
        <v>307</v>
      </c>
      <c r="B335" s="229" t="n">
        <f aca="false">IF(ISERROR(A335),"",IF($D$9="Annually",EDATE(B334,12),EDATE(B334,1)))</f>
        <v>55637</v>
      </c>
      <c r="C335" s="230" t="n">
        <f aca="false">IF(ISERROR(A335),"",C334+IF($D$9="Monthly",1/12,1))</f>
        <v>86.6333333333321</v>
      </c>
      <c r="D335" s="231" t="n">
        <f aca="false">IF(L334&lt;&gt;1, IF(G334&lt;E334,0,D334),IF(L334=1,IFERROR(ROUND(IF($G334 - (E334 * 6) &lt; 0, D334, ($G334 - (E334 * 6)) * $D$8 / 12),2),0) ) )</f>
        <v>13.84</v>
      </c>
      <c r="E335" s="231" t="n">
        <f aca="false">IF(ISERROR(A335), 0,  MAX(0,   MIN(    ROUND(G334 + D335, 2),    ROUND(FV($S$5, IF(type=1, A335, A334), , IF(J335&lt;&gt;1, -$D$20, -$P$16 + P335), 2), 0)   )  ) )</f>
        <v>31</v>
      </c>
      <c r="F335" s="231" t="n">
        <f aca="false">IF(J335&lt;&gt;1, "", IF(J334&lt;&gt;0, F334, $K$12))</f>
        <v>1</v>
      </c>
      <c r="G335" s="232" t="n">
        <f aca="false">IF(ISERROR(A335),"",ROUND(G334-E335+D335,2))</f>
        <v>3438.19</v>
      </c>
      <c r="H335" s="237" t="n">
        <f aca="false">IF(G335&gt;0,IFERROR(H334+(H334*($D$16/12)),""),"")</f>
        <v>30.683049921079</v>
      </c>
      <c r="I335" s="223" t="n">
        <f aca="false">IF(ISERROR(A336),"",12 - MONTH(B335))</f>
        <v>8</v>
      </c>
      <c r="J335" s="224" t="n">
        <f aca="false">K335</f>
        <v>1</v>
      </c>
      <c r="K335" s="225" t="n">
        <f aca="false">_xlfn.IFNA(IF(B335&gt;=$K$11, 1,0),0)</f>
        <v>1</v>
      </c>
      <c r="L335" s="60" t="str">
        <f aca="false">IF(I335=0,1,"")</f>
        <v/>
      </c>
      <c r="P335" s="4" t="n">
        <f aca="false">IF(AND(G335&gt;E335, A335&lt;&gt;0, V335&lt;&gt;0), $N$5 * ($P$22 ^ V335 - 1), 0)</f>
        <v>0</v>
      </c>
      <c r="V335" s="71" t="n">
        <f aca="false">IF(B335&lt;EDATE($K$11,12), 0,  DATEDIF(EDATE($K$11,12), B335 + 1, "y") + 1 )</f>
        <v>21</v>
      </c>
    </row>
    <row r="336" customFormat="false" ht="12.75" hidden="false" customHeight="true" outlineLevel="0" collapsed="false">
      <c r="A336" s="228" t="n">
        <f aca="false">IF(OR(G335="",G335&lt;=0,C335&gt;150),NA(),A335+1)</f>
        <v>308</v>
      </c>
      <c r="B336" s="229" t="n">
        <f aca="false">IF(ISERROR(A336),"",IF($D$9="Annually",EDATE(B335,12),EDATE(B335,1)))</f>
        <v>55667</v>
      </c>
      <c r="C336" s="230" t="n">
        <f aca="false">IF(ISERROR(A336),"",C335+IF($D$9="Monthly",1/12,1))</f>
        <v>86.7166666666655</v>
      </c>
      <c r="D336" s="231" t="n">
        <f aca="false">IF(L335&lt;&gt;1, IF(G335&lt;E335,0,D335),IF(L335=1,IFERROR(ROUND(IF($G335 - (E335 * 6) &lt; 0, D335, ($G335 - (E335 * 6)) * $D$8 / 12),2),0) ) )</f>
        <v>13.84</v>
      </c>
      <c r="E336" s="231" t="n">
        <f aca="false">IF(ISERROR(A336), 0,  MAX(0,   MIN(    ROUND(G335 + D336, 2),    ROUND(FV($S$5, IF(type=1, A336, A335), , IF(J336&lt;&gt;1, -$D$20, -$P$16 + P336), 2), 0)   )  ) )</f>
        <v>31</v>
      </c>
      <c r="F336" s="231" t="n">
        <f aca="false">IF(J336&lt;&gt;1, "", IF(J335&lt;&gt;0, F335, $K$12))</f>
        <v>1</v>
      </c>
      <c r="G336" s="232" t="n">
        <f aca="false">IF(ISERROR(A336),"",ROUND(G335-E336+D336,2))</f>
        <v>3421.03</v>
      </c>
      <c r="H336" s="237" t="n">
        <f aca="false">IF(G336&gt;0,IFERROR(H335+(H335*($D$16/12)),""),"")</f>
        <v>30.7341883376141</v>
      </c>
      <c r="I336" s="223" t="n">
        <f aca="false">IF(ISERROR(A337),"",12 - MONTH(B336))</f>
        <v>7</v>
      </c>
      <c r="J336" s="224" t="n">
        <f aca="false">K336</f>
        <v>1</v>
      </c>
      <c r="K336" s="225" t="n">
        <f aca="false">_xlfn.IFNA(IF(B336&gt;=$K$11, 1,0),0)</f>
        <v>1</v>
      </c>
      <c r="L336" s="60" t="str">
        <f aca="false">IF(I336=0,1,"")</f>
        <v/>
      </c>
      <c r="P336" s="4" t="n">
        <f aca="false">IF(AND(G336&gt;E336, A336&lt;&gt;0, V336&lt;&gt;0), $N$5 * ($P$22 ^ V336 - 1), 0)</f>
        <v>0</v>
      </c>
      <c r="V336" s="71" t="n">
        <f aca="false">IF(B336&lt;EDATE($K$11,12), 0,  DATEDIF(EDATE($K$11,12), B336 + 1, "y") + 1 )</f>
        <v>21</v>
      </c>
    </row>
    <row r="337" customFormat="false" ht="12.75" hidden="false" customHeight="true" outlineLevel="0" collapsed="false">
      <c r="A337" s="228" t="n">
        <f aca="false">IF(OR(G336="",G336&lt;=0,C336&gt;150),NA(),A336+1)</f>
        <v>309</v>
      </c>
      <c r="B337" s="229" t="n">
        <f aca="false">IF(ISERROR(A337),"",IF($D$9="Annually",EDATE(B336,12),EDATE(B336,1)))</f>
        <v>55698</v>
      </c>
      <c r="C337" s="230" t="n">
        <f aca="false">IF(ISERROR(A337),"",C336+IF($D$9="Monthly",1/12,1))</f>
        <v>86.7999999999988</v>
      </c>
      <c r="D337" s="231" t="n">
        <f aca="false">IF(L336&lt;&gt;1, IF(G336&lt;E336,0,D336),IF(L336=1,IFERROR(ROUND(IF($G336 - (E336 * 6) &lt; 0, D336, ($G336 - (E336 * 6)) * $D$8 / 12),2),0) ) )</f>
        <v>13.84</v>
      </c>
      <c r="E337" s="231" t="n">
        <f aca="false">IF(ISERROR(A337), 0,  MAX(0,   MIN(    ROUND(G336 + D337, 2),    ROUND(FV($S$5, IF(type=1, A337, A336), , IF(J337&lt;&gt;1, -$D$20, -$P$16 + P337), 2), 0)   )  ) )</f>
        <v>31</v>
      </c>
      <c r="F337" s="231" t="n">
        <f aca="false">IF(J337&lt;&gt;1, "", IF(J336&lt;&gt;0, F336, $K$12))</f>
        <v>1</v>
      </c>
      <c r="G337" s="232" t="n">
        <f aca="false">IF(ISERROR(A337),"",ROUND(G336-E337+D337,2))</f>
        <v>3403.87</v>
      </c>
      <c r="H337" s="237" t="n">
        <f aca="false">IF(G337&gt;0,IFERROR(H336+(H336*($D$16/12)),""),"")</f>
        <v>30.7854119848435</v>
      </c>
      <c r="I337" s="223" t="n">
        <f aca="false">IF(ISERROR(A338),"",12 - MONTH(B337))</f>
        <v>6</v>
      </c>
      <c r="J337" s="224" t="n">
        <f aca="false">K337</f>
        <v>1</v>
      </c>
      <c r="K337" s="225" t="n">
        <f aca="false">_xlfn.IFNA(IF(B337&gt;=$K$11, 1,0),0)</f>
        <v>1</v>
      </c>
      <c r="L337" s="60" t="str">
        <f aca="false">IF(I337=0,1,"")</f>
        <v/>
      </c>
      <c r="P337" s="4" t="n">
        <f aca="false">IF(AND(G337&gt;E337, A337&lt;&gt;0, V337&lt;&gt;0), $N$5 * ($P$22 ^ V337 - 1), 0)</f>
        <v>0</v>
      </c>
      <c r="V337" s="71" t="n">
        <f aca="false">IF(B337&lt;EDATE($K$11,12), 0,  DATEDIF(EDATE($K$11,12), B337 + 1, "y") + 1 )</f>
        <v>21</v>
      </c>
    </row>
    <row r="338" customFormat="false" ht="12.75" hidden="false" customHeight="true" outlineLevel="0" collapsed="false">
      <c r="A338" s="228" t="n">
        <f aca="false">IF(OR(G337="",G337&lt;=0,C337&gt;150),NA(),A337+1)</f>
        <v>310</v>
      </c>
      <c r="B338" s="229" t="n">
        <f aca="false">IF(ISERROR(A338),"",IF($D$9="Annually",EDATE(B337,12),EDATE(B337,1)))</f>
        <v>55728</v>
      </c>
      <c r="C338" s="230" t="n">
        <f aca="false">IF(ISERROR(A338),"",C337+IF($D$9="Monthly",1/12,1))</f>
        <v>86.8833333333321</v>
      </c>
      <c r="D338" s="231" t="n">
        <f aca="false">IF(L337&lt;&gt;1, IF(G337&lt;E337,0,D337),IF(L337=1,IFERROR(ROUND(IF($G337 - (E337 * 6) &lt; 0, D337, ($G337 - (E337 * 6)) * $D$8 / 12),2),0) ) )</f>
        <v>13.84</v>
      </c>
      <c r="E338" s="231" t="n">
        <f aca="false">IF(ISERROR(A338), 0,  MAX(0,   MIN(    ROUND(G337 + D338, 2),    ROUND(FV($S$5, IF(type=1, A338, A337), , IF(J338&lt;&gt;1, -$D$20, -$P$16 + P338), 2), 0)   )  ) )</f>
        <v>31</v>
      </c>
      <c r="F338" s="231" t="n">
        <f aca="false">IF(J338&lt;&gt;1, "", IF(J337&lt;&gt;0, F337, $K$12))</f>
        <v>1</v>
      </c>
      <c r="G338" s="232" t="n">
        <f aca="false">IF(ISERROR(A338),"",ROUND(G337-E338+D338,2))</f>
        <v>3386.71</v>
      </c>
      <c r="H338" s="237" t="n">
        <f aca="false">IF(G338&gt;0,IFERROR(H337+(H337*($D$16/12)),""),"")</f>
        <v>30.8367210048182</v>
      </c>
      <c r="I338" s="223" t="n">
        <f aca="false">IF(ISERROR(A339),"",12 - MONTH(B338))</f>
        <v>5</v>
      </c>
      <c r="J338" s="224" t="n">
        <f aca="false">K338</f>
        <v>1</v>
      </c>
      <c r="K338" s="225" t="n">
        <f aca="false">_xlfn.IFNA(IF(B338&gt;=$K$11, 1,0),0)</f>
        <v>1</v>
      </c>
      <c r="L338" s="60" t="str">
        <f aca="false">IF(I338=0,1,"")</f>
        <v/>
      </c>
      <c r="P338" s="4" t="n">
        <f aca="false">IF(AND(G338&gt;E338, A338&lt;&gt;0, V338&lt;&gt;0), $N$5 * ($P$22 ^ V338 - 1), 0)</f>
        <v>0</v>
      </c>
      <c r="V338" s="71" t="n">
        <f aca="false">IF(B338&lt;EDATE($K$11,12), 0,  DATEDIF(EDATE($K$11,12), B338 + 1, "y") + 1 )</f>
        <v>21</v>
      </c>
    </row>
    <row r="339" customFormat="false" ht="12.75" hidden="false" customHeight="true" outlineLevel="0" collapsed="false">
      <c r="A339" s="228" t="n">
        <f aca="false">IF(OR(G338="",G338&lt;=0,C338&gt;150),NA(),A338+1)</f>
        <v>311</v>
      </c>
      <c r="B339" s="229" t="n">
        <f aca="false">IF(ISERROR(A339),"",IF($D$9="Annually",EDATE(B338,12),EDATE(B338,1)))</f>
        <v>55759</v>
      </c>
      <c r="C339" s="230" t="n">
        <f aca="false">IF(ISERROR(A339),"",C338+IF($D$9="Monthly",1/12,1))</f>
        <v>86.9666666666655</v>
      </c>
      <c r="D339" s="231" t="n">
        <f aca="false">IF(L338&lt;&gt;1, IF(G338&lt;E338,0,D338),IF(L338=1,IFERROR(ROUND(IF($G338 - (E338 * 6) &lt; 0, D338, ($G338 - (E338 * 6)) * $D$8 / 12),2),0) ) )</f>
        <v>13.84</v>
      </c>
      <c r="E339" s="231" t="n">
        <f aca="false">IF(ISERROR(A339), 0,  MAX(0,   MIN(    ROUND(G338 + D339, 2),    ROUND(FV($S$5, IF(type=1, A339, A338), , IF(J339&lt;&gt;1, -$D$20, -$P$16 + P339), 2), 0)   )  ) )</f>
        <v>31</v>
      </c>
      <c r="F339" s="231" t="n">
        <f aca="false">IF(J339&lt;&gt;1, "", IF(J338&lt;&gt;0, F338, $K$12))</f>
        <v>1</v>
      </c>
      <c r="G339" s="232" t="n">
        <f aca="false">IF(ISERROR(A339),"",ROUND(G338-E339+D339,2))</f>
        <v>3369.55</v>
      </c>
      <c r="H339" s="237" t="n">
        <f aca="false">IF(G339&gt;0,IFERROR(H338+(H338*($D$16/12)),""),"")</f>
        <v>30.8881155398263</v>
      </c>
      <c r="I339" s="223" t="n">
        <f aca="false">IF(ISERROR(A340),"",12 - MONTH(B339))</f>
        <v>4</v>
      </c>
      <c r="J339" s="224" t="n">
        <f aca="false">K339</f>
        <v>1</v>
      </c>
      <c r="K339" s="225" t="n">
        <f aca="false">_xlfn.IFNA(IF(B339&gt;=$K$11, 1,0),0)</f>
        <v>1</v>
      </c>
      <c r="L339" s="60" t="str">
        <f aca="false">IF(I339=0,1,"")</f>
        <v/>
      </c>
      <c r="P339" s="4" t="n">
        <f aca="false">IF(AND(G339&gt;E339, A339&lt;&gt;0, V339&lt;&gt;0), $N$5 * ($P$22 ^ V339 - 1), 0)</f>
        <v>0</v>
      </c>
      <c r="V339" s="71" t="n">
        <f aca="false">IF(B339&lt;EDATE($K$11,12), 0,  DATEDIF(EDATE($K$11,12), B339 + 1, "y") + 1 )</f>
        <v>21</v>
      </c>
    </row>
    <row r="340" customFormat="false" ht="12.75" hidden="false" customHeight="true" outlineLevel="0" collapsed="false">
      <c r="A340" s="228" t="n">
        <f aca="false">IF(OR(G339="",G339&lt;=0,C339&gt;150),NA(),A339+1)</f>
        <v>312</v>
      </c>
      <c r="B340" s="229" t="n">
        <f aca="false">IF(ISERROR(A340),"",IF($D$9="Annually",EDATE(B339,12),EDATE(B339,1)))</f>
        <v>55790</v>
      </c>
      <c r="C340" s="230" t="n">
        <f aca="false">IF(ISERROR(A340),"",C339+IF($D$9="Monthly",1/12,1))</f>
        <v>87.0499999999988</v>
      </c>
      <c r="D340" s="231" t="n">
        <f aca="false">IF(L339&lt;&gt;1, IF(G339&lt;E339,0,D339),IF(L339=1,IFERROR(ROUND(IF($G339 - (E339 * 6) &lt; 0, D339, ($G339 - (E339 * 6)) * $D$8 / 12),2),0) ) )</f>
        <v>13.84</v>
      </c>
      <c r="E340" s="231" t="n">
        <f aca="false">IF(ISERROR(A340), 0,  MAX(0,   MIN(    ROUND(G339 + D340, 2),    ROUND(FV($S$5, IF(type=1, A340, A339), , IF(J340&lt;&gt;1, -$D$20, -$P$16 + P340), 2), 0)   )  ) )</f>
        <v>32</v>
      </c>
      <c r="F340" s="231" t="n">
        <f aca="false">IF(J340&lt;&gt;1, "", IF(J339&lt;&gt;0, F339, $K$12))</f>
        <v>1</v>
      </c>
      <c r="G340" s="232" t="n">
        <f aca="false">IF(ISERROR(A340),"",ROUND(G339-E340+D340,2))</f>
        <v>3351.39</v>
      </c>
      <c r="H340" s="237" t="n">
        <f aca="false">IF(G340&gt;0,IFERROR(H339+(H339*($D$16/12)),""),"")</f>
        <v>30.9395957323926</v>
      </c>
      <c r="I340" s="223" t="n">
        <f aca="false">IF(ISERROR(A341),"",12 - MONTH(B340))</f>
        <v>3</v>
      </c>
      <c r="J340" s="224" t="n">
        <f aca="false">K340</f>
        <v>1</v>
      </c>
      <c r="K340" s="225" t="n">
        <f aca="false">_xlfn.IFNA(IF(B340&gt;=$K$11, 1,0),0)</f>
        <v>1</v>
      </c>
      <c r="L340" s="60" t="str">
        <f aca="false">IF(I340=0,1,"")</f>
        <v/>
      </c>
      <c r="P340" s="4" t="n">
        <f aca="false">IF(AND(G340&gt;E340, A340&lt;&gt;0, V340&lt;&gt;0), $N$5 * ($P$22 ^ V340 - 1), 0)</f>
        <v>0</v>
      </c>
      <c r="V340" s="71" t="n">
        <f aca="false">IF(B340&lt;EDATE($K$11,12), 0,  DATEDIF(EDATE($K$11,12), B340 + 1, "y") + 1 )</f>
        <v>21</v>
      </c>
    </row>
    <row r="341" customFormat="false" ht="12.75" hidden="false" customHeight="true" outlineLevel="0" collapsed="false">
      <c r="A341" s="228" t="n">
        <f aca="false">IF(OR(G340="",G340&lt;=0,C340&gt;150),NA(),A340+1)</f>
        <v>313</v>
      </c>
      <c r="B341" s="229" t="n">
        <f aca="false">IF(ISERROR(A341),"",IF($D$9="Annually",EDATE(B340,12),EDATE(B340,1)))</f>
        <v>55820</v>
      </c>
      <c r="C341" s="230" t="n">
        <f aca="false">IF(ISERROR(A341),"",C340+IF($D$9="Monthly",1/12,1))</f>
        <v>87.1333333333321</v>
      </c>
      <c r="D341" s="231" t="n">
        <f aca="false">IF(L340&lt;&gt;1, IF(G340&lt;E340,0,D340),IF(L340=1,IFERROR(ROUND(IF($G340 - (E340 * 6) &lt; 0, D340, ($G340 - (E340 * 6)) * $D$8 / 12),2),0) ) )</f>
        <v>13.84</v>
      </c>
      <c r="E341" s="231" t="n">
        <f aca="false">IF(ISERROR(A341), 0,  MAX(0,   MIN(    ROUND(G340 + D341, 2),    ROUND(FV($S$5, IF(type=1, A341, A340), , IF(J341&lt;&gt;1, -$D$20, -$P$16 + P341), 2), 0)   )  ) )</f>
        <v>32</v>
      </c>
      <c r="F341" s="231" t="n">
        <f aca="false">IF(J341&lt;&gt;1, "", IF(J340&lt;&gt;0, F340, $K$12))</f>
        <v>1</v>
      </c>
      <c r="G341" s="232" t="n">
        <f aca="false">IF(ISERROR(A341),"",ROUND(G340-E341+D341,2))</f>
        <v>3333.23</v>
      </c>
      <c r="H341" s="237" t="n">
        <f aca="false">IF(G341&gt;0,IFERROR(H340+(H340*($D$16/12)),""),"")</f>
        <v>30.99116172528</v>
      </c>
      <c r="I341" s="223" t="n">
        <f aca="false">IF(ISERROR(A342),"",12 - MONTH(B341))</f>
        <v>2</v>
      </c>
      <c r="J341" s="224" t="n">
        <f aca="false">K341</f>
        <v>1</v>
      </c>
      <c r="K341" s="225" t="n">
        <f aca="false">_xlfn.IFNA(IF(B341&gt;=$K$11, 1,0),0)</f>
        <v>1</v>
      </c>
      <c r="L341" s="60" t="str">
        <f aca="false">IF(I341=0,1,"")</f>
        <v/>
      </c>
      <c r="P341" s="4" t="n">
        <f aca="false">IF(AND(G341&gt;E341, A341&lt;&gt;0, V341&lt;&gt;0), $N$5 * ($P$22 ^ V341 - 1), 0)</f>
        <v>0</v>
      </c>
      <c r="V341" s="71" t="n">
        <f aca="false">IF(B341&lt;EDATE($K$11,12), 0,  DATEDIF(EDATE($K$11,12), B341 + 1, "y") + 1 )</f>
        <v>21</v>
      </c>
    </row>
    <row r="342" customFormat="false" ht="12.75" hidden="false" customHeight="true" outlineLevel="0" collapsed="false">
      <c r="A342" s="228" t="n">
        <f aca="false">IF(OR(G341="",G341&lt;=0,C341&gt;150),NA(),A341+1)</f>
        <v>314</v>
      </c>
      <c r="B342" s="229" t="n">
        <f aca="false">IF(ISERROR(A342),"",IF($D$9="Annually",EDATE(B341,12),EDATE(B341,1)))</f>
        <v>55851</v>
      </c>
      <c r="C342" s="230" t="n">
        <f aca="false">IF(ISERROR(A342),"",C341+IF($D$9="Monthly",1/12,1))</f>
        <v>87.2166666666654</v>
      </c>
      <c r="D342" s="231" t="n">
        <f aca="false">IF(L341&lt;&gt;1, IF(G341&lt;E341,0,D341),IF(L341=1,IFERROR(ROUND(IF($G341 - (E341 * 6) &lt; 0, D341, ($G341 - (E341 * 6)) * $D$8 / 12),2),0) ) )</f>
        <v>13.84</v>
      </c>
      <c r="E342" s="231" t="n">
        <f aca="false">IF(ISERROR(A342), 0,  MAX(0,   MIN(    ROUND(G341 + D342, 2),    ROUND(FV($S$5, IF(type=1, A342, A341), , IF(J342&lt;&gt;1, -$D$20, -$P$16 + P342), 2), 0)   )  ) )</f>
        <v>32</v>
      </c>
      <c r="F342" s="231" t="n">
        <f aca="false">IF(J342&lt;&gt;1, "", IF(J341&lt;&gt;0, F341, $K$12))</f>
        <v>1</v>
      </c>
      <c r="G342" s="232" t="n">
        <f aca="false">IF(ISERROR(A342),"",ROUND(G341-E342+D342,2))</f>
        <v>3315.07</v>
      </c>
      <c r="H342" s="237" t="n">
        <f aca="false">IF(G342&gt;0,IFERROR(H341+(H341*($D$16/12)),""),"")</f>
        <v>31.0428136614888</v>
      </c>
      <c r="I342" s="223" t="n">
        <f aca="false">IF(ISERROR(A343),"",12 - MONTH(B342))</f>
        <v>1</v>
      </c>
      <c r="J342" s="224" t="n">
        <f aca="false">K342</f>
        <v>1</v>
      </c>
      <c r="K342" s="225" t="n">
        <f aca="false">_xlfn.IFNA(IF(B342&gt;=$K$11, 1,0),0)</f>
        <v>1</v>
      </c>
      <c r="L342" s="60" t="str">
        <f aca="false">IF(I342=0,1,"")</f>
        <v/>
      </c>
      <c r="P342" s="4" t="n">
        <f aca="false">IF(AND(G342&gt;E342, A342&lt;&gt;0, V342&lt;&gt;0), $N$5 * ($P$22 ^ V342 - 1), 0)</f>
        <v>0</v>
      </c>
      <c r="V342" s="71" t="n">
        <f aca="false">IF(B342&lt;EDATE($K$11,12), 0,  DATEDIF(EDATE($K$11,12), B342 + 1, "y") + 1 )</f>
        <v>21</v>
      </c>
    </row>
    <row r="343" customFormat="false" ht="12.75" hidden="false" customHeight="true" outlineLevel="0" collapsed="false">
      <c r="A343" s="228" t="n">
        <f aca="false">IF(OR(G342="",G342&lt;=0,C342&gt;150),NA(),A342+1)</f>
        <v>315</v>
      </c>
      <c r="B343" s="229" t="n">
        <f aca="false">IF(ISERROR(A343),"",IF($D$9="Annually",EDATE(B342,12),EDATE(B342,1)))</f>
        <v>55881</v>
      </c>
      <c r="C343" s="230" t="n">
        <f aca="false">IF(ISERROR(A343),"",C342+IF($D$9="Monthly",1/12,1))</f>
        <v>87.2999999999988</v>
      </c>
      <c r="D343" s="231" t="n">
        <f aca="false">IF(L342&lt;&gt;1, IF(G342&lt;E342,0,D342),IF(L342=1,IFERROR(ROUND(IF($G342 - (E342 * 6) &lt; 0, D342, ($G342 - (E342 * 6)) * $D$8 / 12),2),0) ) )</f>
        <v>13.84</v>
      </c>
      <c r="E343" s="231" t="n">
        <f aca="false">IF(ISERROR(A343), 0,  MAX(0,   MIN(    ROUND(G342 + D343, 2),    ROUND(FV($S$5, IF(type=1, A343, A342), , IF(J343&lt;&gt;1, -$D$20, -$P$16 + P343), 2), 0)   )  ) )</f>
        <v>32</v>
      </c>
      <c r="F343" s="231" t="n">
        <f aca="false">IF(J343&lt;&gt;1, "", IF(J342&lt;&gt;0, F342, $K$12))</f>
        <v>1</v>
      </c>
      <c r="G343" s="232" t="n">
        <f aca="false">IF(ISERROR(A343),"",ROUND(G342-E343+D343,2))</f>
        <v>3296.91</v>
      </c>
      <c r="H343" s="237" t="n">
        <f aca="false">IF(G343&gt;0,IFERROR(H342+(H342*($D$16/12)),""),"")</f>
        <v>31.0945516842579</v>
      </c>
      <c r="I343" s="223" t="n">
        <f aca="false">IF(ISERROR(A344),"",12 - MONTH(B343))</f>
        <v>0</v>
      </c>
      <c r="J343" s="224" t="n">
        <f aca="false">K343</f>
        <v>1</v>
      </c>
      <c r="K343" s="225" t="n">
        <f aca="false">_xlfn.IFNA(IF(B343&gt;=$K$11, 1,0),0)</f>
        <v>1</v>
      </c>
      <c r="L343" s="60" t="n">
        <f aca="false">IF(I343=0,1,"")</f>
        <v>1</v>
      </c>
      <c r="P343" s="4" t="n">
        <f aca="false">IF(AND(G343&gt;E343, A343&lt;&gt;0, V343&lt;&gt;0), $N$5 * ($P$22 ^ V343 - 1), 0)</f>
        <v>0</v>
      </c>
      <c r="V343" s="71" t="n">
        <f aca="false">IF(B343&lt;EDATE($K$11,12), 0,  DATEDIF(EDATE($K$11,12), B343 + 1, "y") + 1 )</f>
        <v>21</v>
      </c>
    </row>
    <row r="344" customFormat="false" ht="12.75" hidden="false" customHeight="true" outlineLevel="0" collapsed="false">
      <c r="A344" s="228" t="n">
        <f aca="false">IF(OR(G343="",G343&lt;=0,C343&gt;150),NA(),A343+1)</f>
        <v>316</v>
      </c>
      <c r="B344" s="229" t="n">
        <f aca="false">IF(ISERROR(A344),"",IF($D$9="Annually",EDATE(B343,12),EDATE(B343,1)))</f>
        <v>55912</v>
      </c>
      <c r="C344" s="230" t="n">
        <f aca="false">IF(ISERROR(A344),"",C343+IF($D$9="Monthly",1/12,1))</f>
        <v>87.3833333333321</v>
      </c>
      <c r="D344" s="231" t="n">
        <f aca="false">IF(L343&lt;&gt;1, IF(G343&lt;E343,0,D343),IF(L343=1,IFERROR(ROUND(IF($G343 - (E343 * 6) &lt; 0, D343, ($G343 - (E343 * 6)) * $D$8 / 12),2),0) ) )</f>
        <v>12.94</v>
      </c>
      <c r="E344" s="231" t="n">
        <f aca="false">IF(ISERROR(A344), 0,  MAX(0,   MIN(    ROUND(G343 + D344, 2),    ROUND(FV($S$5, IF(type=1, A344, A343), , IF(J344&lt;&gt;1, -$D$20, -$P$16 + P344), 2), 0)   )  ) )</f>
        <v>32</v>
      </c>
      <c r="F344" s="231" t="n">
        <f aca="false">IF(J344&lt;&gt;1, "", IF(J343&lt;&gt;0, F343, $K$12))</f>
        <v>1</v>
      </c>
      <c r="G344" s="232" t="n">
        <f aca="false">IF(ISERROR(A344),"",ROUND(G343-E344+D344,2))</f>
        <v>3277.85</v>
      </c>
      <c r="H344" s="237" t="n">
        <f aca="false">IF(G344&gt;0,IFERROR(H343+(H343*($D$16/12)),""),"")</f>
        <v>31.146375937065</v>
      </c>
      <c r="I344" s="223" t="n">
        <f aca="false">IF(ISERROR(A345),"",12 - MONTH(B344))</f>
        <v>11</v>
      </c>
      <c r="J344" s="224" t="n">
        <f aca="false">K344</f>
        <v>1</v>
      </c>
      <c r="K344" s="225" t="n">
        <f aca="false">_xlfn.IFNA(IF(B344&gt;=$K$11, 1,0),0)</f>
        <v>1</v>
      </c>
      <c r="L344" s="60" t="str">
        <f aca="false">IF(I344=0,1,"")</f>
        <v/>
      </c>
      <c r="P344" s="4" t="n">
        <f aca="false">IF(AND(G344&gt;E344, A344&lt;&gt;0, V344&lt;&gt;0), $N$5 * ($P$22 ^ V344 - 1), 0)</f>
        <v>0</v>
      </c>
      <c r="V344" s="71" t="n">
        <f aca="false">IF(B344&lt;EDATE($K$11,12), 0,  DATEDIF(EDATE($K$11,12), B344 + 1, "y") + 1 )</f>
        <v>22</v>
      </c>
    </row>
    <row r="345" customFormat="false" ht="12.75" hidden="false" customHeight="true" outlineLevel="0" collapsed="false">
      <c r="A345" s="228" t="n">
        <f aca="false">IF(OR(G344="",G344&lt;=0,C344&gt;150),NA(),A344+1)</f>
        <v>317</v>
      </c>
      <c r="B345" s="229" t="n">
        <f aca="false">IF(ISERROR(A345),"",IF($D$9="Annually",EDATE(B344,12),EDATE(B344,1)))</f>
        <v>55943</v>
      </c>
      <c r="C345" s="230" t="n">
        <f aca="false">IF(ISERROR(A345),"",C344+IF($D$9="Monthly",1/12,1))</f>
        <v>87.4666666666654</v>
      </c>
      <c r="D345" s="231" t="n">
        <f aca="false">IF(L344&lt;&gt;1, IF(G344&lt;E344,0,D344),IF(L344=1,IFERROR(ROUND(IF($G344 - (E344 * 6) &lt; 0, D344, ($G344 - (E344 * 6)) * $D$8 / 12),2),0) ) )</f>
        <v>12.94</v>
      </c>
      <c r="E345" s="231" t="n">
        <f aca="false">IF(ISERROR(A345), 0,  MAX(0,   MIN(    ROUND(G344 + D345, 2),    ROUND(FV($S$5, IF(type=1, A345, A344), , IF(J345&lt;&gt;1, -$D$20, -$P$16 + P345), 2), 0)   )  ) )</f>
        <v>32</v>
      </c>
      <c r="F345" s="231" t="n">
        <f aca="false">IF(J345&lt;&gt;1, "", IF(J344&lt;&gt;0, F344, $K$12))</f>
        <v>1</v>
      </c>
      <c r="G345" s="232" t="n">
        <f aca="false">IF(ISERROR(A345),"",ROUND(G344-E345+D345,2))</f>
        <v>3258.79</v>
      </c>
      <c r="H345" s="237" t="n">
        <f aca="false">IF(G345&gt;0,IFERROR(H344+(H344*($D$16/12)),""),"")</f>
        <v>31.1982865636268</v>
      </c>
      <c r="I345" s="223" t="n">
        <f aca="false">IF(ISERROR(A346),"",12 - MONTH(B345))</f>
        <v>10</v>
      </c>
      <c r="J345" s="224" t="n">
        <f aca="false">K345</f>
        <v>1</v>
      </c>
      <c r="K345" s="225" t="n">
        <f aca="false">_xlfn.IFNA(IF(B345&gt;=$K$11, 1,0),0)</f>
        <v>1</v>
      </c>
      <c r="L345" s="60" t="str">
        <f aca="false">IF(I345=0,1,"")</f>
        <v/>
      </c>
      <c r="P345" s="4" t="n">
        <f aca="false">IF(AND(G345&gt;E345, A345&lt;&gt;0, V345&lt;&gt;0), $N$5 * ($P$22 ^ V345 - 1), 0)</f>
        <v>0</v>
      </c>
      <c r="V345" s="71" t="n">
        <f aca="false">IF(B345&lt;EDATE($K$11,12), 0,  DATEDIF(EDATE($K$11,12), B345 + 1, "y") + 1 )</f>
        <v>22</v>
      </c>
    </row>
    <row r="346" customFormat="false" ht="12.75" hidden="false" customHeight="true" outlineLevel="0" collapsed="false">
      <c r="A346" s="228" t="n">
        <f aca="false">IF(OR(G345="",G345&lt;=0,C345&gt;150),NA(),A345+1)</f>
        <v>318</v>
      </c>
      <c r="B346" s="229" t="n">
        <f aca="false">IF(ISERROR(A346),"",IF($D$9="Annually",EDATE(B345,12),EDATE(B345,1)))</f>
        <v>55971</v>
      </c>
      <c r="C346" s="230" t="n">
        <f aca="false">IF(ISERROR(A346),"",C345+IF($D$9="Monthly",1/12,1))</f>
        <v>87.5499999999988</v>
      </c>
      <c r="D346" s="231" t="n">
        <f aca="false">IF(L345&lt;&gt;1, IF(G345&lt;E345,0,D345),IF(L345=1,IFERROR(ROUND(IF($G345 - (E345 * 6) &lt; 0, D345, ($G345 - (E345 * 6)) * $D$8 / 12),2),0) ) )</f>
        <v>12.94</v>
      </c>
      <c r="E346" s="231" t="n">
        <f aca="false">IF(ISERROR(A346), 0,  MAX(0,   MIN(    ROUND(G345 + D346, 2),    ROUND(FV($S$5, IF(type=1, A346, A345), , IF(J346&lt;&gt;1, -$D$20, -$P$16 + P346), 2), 0)   )  ) )</f>
        <v>32</v>
      </c>
      <c r="F346" s="231" t="n">
        <f aca="false">IF(J346&lt;&gt;1, "", IF(J345&lt;&gt;0, F345, $K$12))</f>
        <v>1</v>
      </c>
      <c r="G346" s="232" t="n">
        <f aca="false">IF(ISERROR(A346),"",ROUND(G345-E346+D346,2))</f>
        <v>3239.73</v>
      </c>
      <c r="H346" s="237" t="n">
        <f aca="false">IF(G346&gt;0,IFERROR(H345+(H345*($D$16/12)),""),"")</f>
        <v>31.2502837078995</v>
      </c>
      <c r="I346" s="223" t="n">
        <f aca="false">IF(ISERROR(A347),"",12 - MONTH(B346))</f>
        <v>9</v>
      </c>
      <c r="J346" s="224" t="n">
        <f aca="false">K346</f>
        <v>1</v>
      </c>
      <c r="K346" s="225" t="n">
        <f aca="false">_xlfn.IFNA(IF(B346&gt;=$K$11, 1,0),0)</f>
        <v>1</v>
      </c>
      <c r="L346" s="60" t="str">
        <f aca="false">IF(I346=0,1,"")</f>
        <v/>
      </c>
      <c r="P346" s="4" t="n">
        <f aca="false">IF(AND(G346&gt;E346, A346&lt;&gt;0, V346&lt;&gt;0), $N$5 * ($P$22 ^ V346 - 1), 0)</f>
        <v>0</v>
      </c>
      <c r="V346" s="71" t="n">
        <f aca="false">IF(B346&lt;EDATE($K$11,12), 0,  DATEDIF(EDATE($K$11,12), B346 + 1, "y") + 1 )</f>
        <v>22</v>
      </c>
    </row>
    <row r="347" customFormat="false" ht="12.75" hidden="false" customHeight="true" outlineLevel="0" collapsed="false">
      <c r="A347" s="228" t="n">
        <f aca="false">IF(OR(G346="",G346&lt;=0,C346&gt;150),NA(),A346+1)</f>
        <v>319</v>
      </c>
      <c r="B347" s="229" t="n">
        <f aca="false">IF(ISERROR(A347),"",IF($D$9="Annually",EDATE(B346,12),EDATE(B346,1)))</f>
        <v>56002</v>
      </c>
      <c r="C347" s="230" t="n">
        <f aca="false">IF(ISERROR(A347),"",C346+IF($D$9="Monthly",1/12,1))</f>
        <v>87.6333333333321</v>
      </c>
      <c r="D347" s="231" t="n">
        <f aca="false">IF(L346&lt;&gt;1, IF(G346&lt;E346,0,D346),IF(L346=1,IFERROR(ROUND(IF($G346 - (E346 * 6) &lt; 0, D346, ($G346 - (E346 * 6)) * $D$8 / 12),2),0) ) )</f>
        <v>12.94</v>
      </c>
      <c r="E347" s="231" t="n">
        <f aca="false">IF(ISERROR(A347), 0,  MAX(0,   MIN(    ROUND(G346 + D347, 2),    ROUND(FV($S$5, IF(type=1, A347, A346), , IF(J347&lt;&gt;1, -$D$20, -$P$16 + P347), 2), 0)   )  ) )</f>
        <v>32</v>
      </c>
      <c r="F347" s="231" t="n">
        <f aca="false">IF(J347&lt;&gt;1, "", IF(J346&lt;&gt;0, F346, $K$12))</f>
        <v>1</v>
      </c>
      <c r="G347" s="232" t="n">
        <f aca="false">IF(ISERROR(A347),"",ROUND(G346-E347+D347,2))</f>
        <v>3220.67</v>
      </c>
      <c r="H347" s="237" t="n">
        <f aca="false">IF(G347&gt;0,IFERROR(H346+(H346*($D$16/12)),""),"")</f>
        <v>31.3023675140793</v>
      </c>
      <c r="I347" s="223" t="n">
        <f aca="false">IF(ISERROR(A348),"",12 - MONTH(B347))</f>
        <v>8</v>
      </c>
      <c r="J347" s="224" t="n">
        <f aca="false">K347</f>
        <v>1</v>
      </c>
      <c r="K347" s="225" t="n">
        <f aca="false">_xlfn.IFNA(IF(B347&gt;=$K$11, 1,0),0)</f>
        <v>1</v>
      </c>
      <c r="L347" s="60" t="str">
        <f aca="false">IF(I347=0,1,"")</f>
        <v/>
      </c>
      <c r="P347" s="4" t="n">
        <f aca="false">IF(AND(G347&gt;E347, A347&lt;&gt;0, V347&lt;&gt;0), $N$5 * ($P$22 ^ V347 - 1), 0)</f>
        <v>0</v>
      </c>
      <c r="V347" s="71" t="n">
        <f aca="false">IF(B347&lt;EDATE($K$11,12), 0,  DATEDIF(EDATE($K$11,12), B347 + 1, "y") + 1 )</f>
        <v>22</v>
      </c>
    </row>
    <row r="348" customFormat="false" ht="12.75" hidden="false" customHeight="true" outlineLevel="0" collapsed="false">
      <c r="A348" s="228" t="n">
        <f aca="false">IF(OR(G347="",G347&lt;=0,C347&gt;150),NA(),A347+1)</f>
        <v>320</v>
      </c>
      <c r="B348" s="229" t="n">
        <f aca="false">IF(ISERROR(A348),"",IF($D$9="Annually",EDATE(B347,12),EDATE(B347,1)))</f>
        <v>56032</v>
      </c>
      <c r="C348" s="230" t="n">
        <f aca="false">IF(ISERROR(A348),"",C347+IF($D$9="Monthly",1/12,1))</f>
        <v>87.7166666666654</v>
      </c>
      <c r="D348" s="231" t="n">
        <f aca="false">IF(L347&lt;&gt;1, IF(G347&lt;E347,0,D347),IF(L347=1,IFERROR(ROUND(IF($G347 - (E347 * 6) &lt; 0, D347, ($G347 - (E347 * 6)) * $D$8 / 12),2),0) ) )</f>
        <v>12.94</v>
      </c>
      <c r="E348" s="231" t="n">
        <f aca="false">IF(ISERROR(A348), 0,  MAX(0,   MIN(    ROUND(G347 + D348, 2),    ROUND(FV($S$5, IF(type=1, A348, A347), , IF(J348&lt;&gt;1, -$D$20, -$P$16 + P348), 2), 0)   )  ) )</f>
        <v>32</v>
      </c>
      <c r="F348" s="231" t="n">
        <f aca="false">IF(J348&lt;&gt;1, "", IF(J347&lt;&gt;0, F347, $K$12))</f>
        <v>1</v>
      </c>
      <c r="G348" s="232" t="n">
        <f aca="false">IF(ISERROR(A348),"",ROUND(G347-E348+D348,2))</f>
        <v>3201.61</v>
      </c>
      <c r="H348" s="237" t="n">
        <f aca="false">IF(G348&gt;0,IFERROR(H347+(H347*($D$16/12)),""),"")</f>
        <v>31.3545381266028</v>
      </c>
      <c r="I348" s="223" t="n">
        <f aca="false">IF(ISERROR(A349),"",12 - MONTH(B348))</f>
        <v>7</v>
      </c>
      <c r="J348" s="224" t="n">
        <f aca="false">K348</f>
        <v>1</v>
      </c>
      <c r="K348" s="225" t="n">
        <f aca="false">_xlfn.IFNA(IF(B348&gt;=$K$11, 1,0),0)</f>
        <v>1</v>
      </c>
      <c r="L348" s="60" t="str">
        <f aca="false">IF(I348=0,1,"")</f>
        <v/>
      </c>
      <c r="P348" s="4" t="n">
        <f aca="false">IF(AND(G348&gt;E348, A348&lt;&gt;0, V348&lt;&gt;0), $N$5 * ($P$22 ^ V348 - 1), 0)</f>
        <v>0</v>
      </c>
      <c r="V348" s="71" t="n">
        <f aca="false">IF(B348&lt;EDATE($K$11,12), 0,  DATEDIF(EDATE($K$11,12), B348 + 1, "y") + 1 )</f>
        <v>22</v>
      </c>
    </row>
    <row r="349" customFormat="false" ht="12.75" hidden="false" customHeight="true" outlineLevel="0" collapsed="false">
      <c r="A349" s="228" t="n">
        <f aca="false">IF(OR(G348="",G348&lt;=0,C348&gt;150),NA(),A348+1)</f>
        <v>321</v>
      </c>
      <c r="B349" s="229" t="n">
        <f aca="false">IF(ISERROR(A349),"",IF($D$9="Annually",EDATE(B348,12),EDATE(B348,1)))</f>
        <v>56063</v>
      </c>
      <c r="C349" s="230" t="n">
        <f aca="false">IF(ISERROR(A349),"",C348+IF($D$9="Monthly",1/12,1))</f>
        <v>87.7999999999987</v>
      </c>
      <c r="D349" s="231" t="n">
        <f aca="false">IF(L348&lt;&gt;1, IF(G348&lt;E348,0,D348),IF(L348=1,IFERROR(ROUND(IF($G348 - (E348 * 6) &lt; 0, D348, ($G348 - (E348 * 6)) * $D$8 / 12),2),0) ) )</f>
        <v>12.94</v>
      </c>
      <c r="E349" s="231" t="n">
        <f aca="false">IF(ISERROR(A349), 0,  MAX(0,   MIN(    ROUND(G348 + D349, 2),    ROUND(FV($S$5, IF(type=1, A349, A348), , IF(J349&lt;&gt;1, -$D$20, -$P$16 + P349), 2), 0)   )  ) )</f>
        <v>32</v>
      </c>
      <c r="F349" s="231" t="n">
        <f aca="false">IF(J349&lt;&gt;1, "", IF(J348&lt;&gt;0, F348, $K$12))</f>
        <v>1</v>
      </c>
      <c r="G349" s="232" t="n">
        <f aca="false">IF(ISERROR(A349),"",ROUND(G348-E349+D349,2))</f>
        <v>3182.55</v>
      </c>
      <c r="H349" s="237" t="n">
        <f aca="false">IF(G349&gt;0,IFERROR(H348+(H348*($D$16/12)),""),"")</f>
        <v>31.4067956901471</v>
      </c>
      <c r="I349" s="223" t="n">
        <f aca="false">IF(ISERROR(A350),"",12 - MONTH(B349))</f>
        <v>6</v>
      </c>
      <c r="J349" s="224" t="n">
        <f aca="false">K349</f>
        <v>1</v>
      </c>
      <c r="K349" s="225" t="n">
        <f aca="false">_xlfn.IFNA(IF(B349&gt;=$K$11, 1,0),0)</f>
        <v>1</v>
      </c>
      <c r="L349" s="60" t="str">
        <f aca="false">IF(I349=0,1,"")</f>
        <v/>
      </c>
      <c r="P349" s="4" t="n">
        <f aca="false">IF(AND(G349&gt;E349, A349&lt;&gt;0, V349&lt;&gt;0), $N$5 * ($P$22 ^ V349 - 1), 0)</f>
        <v>0</v>
      </c>
      <c r="V349" s="71" t="n">
        <f aca="false">IF(B349&lt;EDATE($K$11,12), 0,  DATEDIF(EDATE($K$11,12), B349 + 1, "y") + 1 )</f>
        <v>22</v>
      </c>
    </row>
    <row r="350" customFormat="false" ht="12.75" hidden="false" customHeight="true" outlineLevel="0" collapsed="false">
      <c r="A350" s="228" t="n">
        <f aca="false">IF(OR(G349="",G349&lt;=0,C349&gt;150),NA(),A349+1)</f>
        <v>322</v>
      </c>
      <c r="B350" s="229" t="n">
        <f aca="false">IF(ISERROR(A350),"",IF($D$9="Annually",EDATE(B349,12),EDATE(B349,1)))</f>
        <v>56093</v>
      </c>
      <c r="C350" s="230" t="n">
        <f aca="false">IF(ISERROR(A350),"",C349+IF($D$9="Monthly",1/12,1))</f>
        <v>87.8833333333321</v>
      </c>
      <c r="D350" s="231" t="n">
        <f aca="false">IF(L349&lt;&gt;1, IF(G349&lt;E349,0,D349),IF(L349=1,IFERROR(ROUND(IF($G349 - (E349 * 6) &lt; 0, D349, ($G349 - (E349 * 6)) * $D$8 / 12),2),0) ) )</f>
        <v>12.94</v>
      </c>
      <c r="E350" s="231" t="n">
        <f aca="false">IF(ISERROR(A350), 0,  MAX(0,   MIN(    ROUND(G349 + D350, 2),    ROUND(FV($S$5, IF(type=1, A350, A349), , IF(J350&lt;&gt;1, -$D$20, -$P$16 + P350), 2), 0)   )  ) )</f>
        <v>32</v>
      </c>
      <c r="F350" s="231" t="n">
        <f aca="false">IF(J350&lt;&gt;1, "", IF(J349&lt;&gt;0, F349, $K$12))</f>
        <v>1</v>
      </c>
      <c r="G350" s="232" t="n">
        <f aca="false">IF(ISERROR(A350),"",ROUND(G349-E350+D350,2))</f>
        <v>3163.49</v>
      </c>
      <c r="H350" s="237" t="n">
        <f aca="false">IF(G350&gt;0,IFERROR(H349+(H349*($D$16/12)),""),"")</f>
        <v>31.4591403496307</v>
      </c>
      <c r="I350" s="223" t="n">
        <f aca="false">IF(ISERROR(A351),"",12 - MONTH(B350))</f>
        <v>5</v>
      </c>
      <c r="J350" s="224" t="n">
        <f aca="false">K350</f>
        <v>1</v>
      </c>
      <c r="K350" s="225" t="n">
        <f aca="false">_xlfn.IFNA(IF(B350&gt;=$K$11, 1,0),0)</f>
        <v>1</v>
      </c>
      <c r="L350" s="60" t="str">
        <f aca="false">IF(I350=0,1,"")</f>
        <v/>
      </c>
      <c r="P350" s="4" t="n">
        <f aca="false">IF(AND(G350&gt;E350, A350&lt;&gt;0, V350&lt;&gt;0), $N$5 * ($P$22 ^ V350 - 1), 0)</f>
        <v>0</v>
      </c>
      <c r="V350" s="71" t="n">
        <f aca="false">IF(B350&lt;EDATE($K$11,12), 0,  DATEDIF(EDATE($K$11,12), B350 + 1, "y") + 1 )</f>
        <v>22</v>
      </c>
    </row>
    <row r="351" customFormat="false" ht="12.75" hidden="false" customHeight="true" outlineLevel="0" collapsed="false">
      <c r="A351" s="228" t="n">
        <f aca="false">IF(OR(G350="",G350&lt;=0,C350&gt;150),NA(),A350+1)</f>
        <v>323</v>
      </c>
      <c r="B351" s="229" t="n">
        <f aca="false">IF(ISERROR(A351),"",IF($D$9="Annually",EDATE(B350,12),EDATE(B350,1)))</f>
        <v>56124</v>
      </c>
      <c r="C351" s="230" t="n">
        <f aca="false">IF(ISERROR(A351),"",C350+IF($D$9="Monthly",1/12,1))</f>
        <v>87.9666666666654</v>
      </c>
      <c r="D351" s="231" t="n">
        <f aca="false">IF(L350&lt;&gt;1, IF(G350&lt;E350,0,D350),IF(L350=1,IFERROR(ROUND(IF($G350 - (E350 * 6) &lt; 0, D350, ($G350 - (E350 * 6)) * $D$8 / 12),2),0) ) )</f>
        <v>12.94</v>
      </c>
      <c r="E351" s="231" t="n">
        <f aca="false">IF(ISERROR(A351), 0,  MAX(0,   MIN(    ROUND(G350 + D351, 2),    ROUND(FV($S$5, IF(type=1, A351, A350), , IF(J351&lt;&gt;1, -$D$20, -$P$16 + P351), 2), 0)   )  ) )</f>
        <v>32</v>
      </c>
      <c r="F351" s="231" t="n">
        <f aca="false">IF(J351&lt;&gt;1, "", IF(J350&lt;&gt;0, F350, $K$12))</f>
        <v>1</v>
      </c>
      <c r="G351" s="232" t="n">
        <f aca="false">IF(ISERROR(A351),"",ROUND(G350-E351+D351,2))</f>
        <v>3144.43</v>
      </c>
      <c r="H351" s="237" t="n">
        <f aca="false">IF(G351&gt;0,IFERROR(H350+(H350*($D$16/12)),""),"")</f>
        <v>31.5115722502134</v>
      </c>
      <c r="I351" s="223" t="n">
        <f aca="false">IF(ISERROR(A352),"",12 - MONTH(B351))</f>
        <v>4</v>
      </c>
      <c r="J351" s="224" t="n">
        <f aca="false">K351</f>
        <v>1</v>
      </c>
      <c r="K351" s="225" t="n">
        <f aca="false">_xlfn.IFNA(IF(B351&gt;=$K$11, 1,0),0)</f>
        <v>1</v>
      </c>
      <c r="L351" s="60" t="str">
        <f aca="false">IF(I351=0,1,"")</f>
        <v/>
      </c>
      <c r="P351" s="4" t="n">
        <f aca="false">IF(AND(G351&gt;E351, A351&lt;&gt;0, V351&lt;&gt;0), $N$5 * ($P$22 ^ V351 - 1), 0)</f>
        <v>0</v>
      </c>
      <c r="V351" s="71" t="n">
        <f aca="false">IF(B351&lt;EDATE($K$11,12), 0,  DATEDIF(EDATE($K$11,12), B351 + 1, "y") + 1 )</f>
        <v>22</v>
      </c>
    </row>
    <row r="352" customFormat="false" ht="12.75" hidden="false" customHeight="true" outlineLevel="0" collapsed="false">
      <c r="A352" s="228" t="n">
        <f aca="false">IF(OR(G351="",G351&lt;=0,C351&gt;150),NA(),A351+1)</f>
        <v>324</v>
      </c>
      <c r="B352" s="229" t="n">
        <f aca="false">IF(ISERROR(A352),"",IF($D$9="Annually",EDATE(B351,12),EDATE(B351,1)))</f>
        <v>56155</v>
      </c>
      <c r="C352" s="230" t="n">
        <f aca="false">IF(ISERROR(A352),"",C351+IF($D$9="Monthly",1/12,1))</f>
        <v>88.0499999999987</v>
      </c>
      <c r="D352" s="231" t="n">
        <f aca="false">IF(L351&lt;&gt;1, IF(G351&lt;E351,0,D351),IF(L351=1,IFERROR(ROUND(IF($G351 - (E351 * 6) &lt; 0, D351, ($G351 - (E351 * 6)) * $D$8 / 12),2),0) ) )</f>
        <v>12.94</v>
      </c>
      <c r="E352" s="231" t="n">
        <f aca="false">IF(ISERROR(A352), 0,  MAX(0,   MIN(    ROUND(G351 + D352, 2),    ROUND(FV($S$5, IF(type=1, A352, A351), , IF(J352&lt;&gt;1, -$D$20, -$P$16 + P352), 2), 0)   )  ) )</f>
        <v>32</v>
      </c>
      <c r="F352" s="231" t="n">
        <f aca="false">IF(J352&lt;&gt;1, "", IF(J351&lt;&gt;0, F351, $K$12))</f>
        <v>1</v>
      </c>
      <c r="G352" s="232" t="n">
        <f aca="false">IF(ISERROR(A352),"",ROUND(G351-E352+D352,2))</f>
        <v>3125.37</v>
      </c>
      <c r="H352" s="237" t="n">
        <f aca="false">IF(G352&gt;0,IFERROR(H351+(H351*($D$16/12)),""),"")</f>
        <v>31.5640915372971</v>
      </c>
      <c r="I352" s="223" t="n">
        <f aca="false">IF(ISERROR(A353),"",12 - MONTH(B352))</f>
        <v>3</v>
      </c>
      <c r="J352" s="224" t="n">
        <f aca="false">K352</f>
        <v>1</v>
      </c>
      <c r="K352" s="225" t="n">
        <f aca="false">_xlfn.IFNA(IF(B352&gt;=$K$11, 1,0),0)</f>
        <v>1</v>
      </c>
      <c r="L352" s="60" t="str">
        <f aca="false">IF(I352=0,1,"")</f>
        <v/>
      </c>
      <c r="P352" s="4" t="n">
        <f aca="false">IF(AND(G352&gt;E352, A352&lt;&gt;0, V352&lt;&gt;0), $N$5 * ($P$22 ^ V352 - 1), 0)</f>
        <v>0</v>
      </c>
      <c r="V352" s="71" t="n">
        <f aca="false">IF(B352&lt;EDATE($K$11,12), 0,  DATEDIF(EDATE($K$11,12), B352 + 1, "y") + 1 )</f>
        <v>22</v>
      </c>
    </row>
    <row r="353" customFormat="false" ht="12.75" hidden="false" customHeight="true" outlineLevel="0" collapsed="false">
      <c r="A353" s="228" t="n">
        <f aca="false">IF(OR(G352="",G352&lt;=0,C352&gt;150),NA(),A352+1)</f>
        <v>325</v>
      </c>
      <c r="B353" s="229" t="n">
        <f aca="false">IF(ISERROR(A353),"",IF($D$9="Annually",EDATE(B352,12),EDATE(B352,1)))</f>
        <v>56185</v>
      </c>
      <c r="C353" s="230" t="n">
        <f aca="false">IF(ISERROR(A353),"",C352+IF($D$9="Monthly",1/12,1))</f>
        <v>88.1333333333321</v>
      </c>
      <c r="D353" s="231" t="n">
        <f aca="false">IF(L352&lt;&gt;1, IF(G352&lt;E352,0,D352),IF(L352=1,IFERROR(ROUND(IF($G352 - (E352 * 6) &lt; 0, D352, ($G352 - (E352 * 6)) * $D$8 / 12),2),0) ) )</f>
        <v>12.94</v>
      </c>
      <c r="E353" s="231" t="n">
        <f aca="false">IF(ISERROR(A353), 0,  MAX(0,   MIN(    ROUND(G352 + D353, 2),    ROUND(FV($S$5, IF(type=1, A353, A352), , IF(J353&lt;&gt;1, -$D$20, -$P$16 + P353), 2), 0)   )  ) )</f>
        <v>32</v>
      </c>
      <c r="F353" s="231" t="n">
        <f aca="false">IF(J353&lt;&gt;1, "", IF(J352&lt;&gt;0, F352, $K$12))</f>
        <v>1</v>
      </c>
      <c r="G353" s="232" t="n">
        <f aca="false">IF(ISERROR(A353),"",ROUND(G352-E353+D353,2))</f>
        <v>3106.31</v>
      </c>
      <c r="H353" s="237" t="n">
        <f aca="false">IF(G353&gt;0,IFERROR(H352+(H352*($D$16/12)),""),"")</f>
        <v>31.6166983565259</v>
      </c>
      <c r="I353" s="223" t="n">
        <f aca="false">IF(ISERROR(A354),"",12 - MONTH(B353))</f>
        <v>2</v>
      </c>
      <c r="J353" s="224" t="n">
        <f aca="false">K353</f>
        <v>1</v>
      </c>
      <c r="K353" s="225" t="n">
        <f aca="false">_xlfn.IFNA(IF(B353&gt;=$K$11, 1,0),0)</f>
        <v>1</v>
      </c>
      <c r="L353" s="60" t="str">
        <f aca="false">IF(I353=0,1,"")</f>
        <v/>
      </c>
      <c r="P353" s="4" t="n">
        <f aca="false">IF(AND(G353&gt;E353, A353&lt;&gt;0, V353&lt;&gt;0), $N$5 * ($P$22 ^ V353 - 1), 0)</f>
        <v>0</v>
      </c>
      <c r="V353" s="71" t="n">
        <f aca="false">IF(B353&lt;EDATE($K$11,12), 0,  DATEDIF(EDATE($K$11,12), B353 + 1, "y") + 1 )</f>
        <v>22</v>
      </c>
    </row>
    <row r="354" customFormat="false" ht="12.75" hidden="false" customHeight="true" outlineLevel="0" collapsed="false">
      <c r="A354" s="228" t="n">
        <f aca="false">IF(OR(G353="",G353&lt;=0,C353&gt;150),NA(),A353+1)</f>
        <v>326</v>
      </c>
      <c r="B354" s="229" t="n">
        <f aca="false">IF(ISERROR(A354),"",IF($D$9="Annually",EDATE(B353,12),EDATE(B353,1)))</f>
        <v>56216</v>
      </c>
      <c r="C354" s="230" t="n">
        <f aca="false">IF(ISERROR(A354),"",C353+IF($D$9="Monthly",1/12,1))</f>
        <v>88.2166666666654</v>
      </c>
      <c r="D354" s="231" t="n">
        <f aca="false">IF(L353&lt;&gt;1, IF(G353&lt;E353,0,D353),IF(L353=1,IFERROR(ROUND(IF($G353 - (E353 * 6) &lt; 0, D353, ($G353 - (E353 * 6)) * $D$8 / 12),2),0) ) )</f>
        <v>12.94</v>
      </c>
      <c r="E354" s="231" t="n">
        <f aca="false">IF(ISERROR(A354), 0,  MAX(0,   MIN(    ROUND(G353 + D354, 2),    ROUND(FV($S$5, IF(type=1, A354, A353), , IF(J354&lt;&gt;1, -$D$20, -$P$16 + P354), 2), 0)   )  ) )</f>
        <v>32</v>
      </c>
      <c r="F354" s="231" t="n">
        <f aca="false">IF(J354&lt;&gt;1, "", IF(J353&lt;&gt;0, F353, $K$12))</f>
        <v>1</v>
      </c>
      <c r="G354" s="232" t="n">
        <f aca="false">IF(ISERROR(A354),"",ROUND(G353-E354+D354,2))</f>
        <v>3087.25</v>
      </c>
      <c r="H354" s="237" t="n">
        <f aca="false">IF(G354&gt;0,IFERROR(H353+(H353*($D$16/12)),""),"")</f>
        <v>31.6693928537868</v>
      </c>
      <c r="I354" s="223" t="n">
        <f aca="false">IF(ISERROR(A355),"",12 - MONTH(B354))</f>
        <v>1</v>
      </c>
      <c r="J354" s="224" t="n">
        <f aca="false">K354</f>
        <v>1</v>
      </c>
      <c r="K354" s="225" t="n">
        <f aca="false">_xlfn.IFNA(IF(B354&gt;=$K$11, 1,0),0)</f>
        <v>1</v>
      </c>
      <c r="L354" s="60" t="str">
        <f aca="false">IF(I354=0,1,"")</f>
        <v/>
      </c>
      <c r="P354" s="4" t="n">
        <f aca="false">IF(AND(G354&gt;E354, A354&lt;&gt;0, V354&lt;&gt;0), $N$5 * ($P$22 ^ V354 - 1), 0)</f>
        <v>0</v>
      </c>
      <c r="V354" s="71" t="n">
        <f aca="false">IF(B354&lt;EDATE($K$11,12), 0,  DATEDIF(EDATE($K$11,12), B354 + 1, "y") + 1 )</f>
        <v>22</v>
      </c>
    </row>
    <row r="355" customFormat="false" ht="12.75" hidden="false" customHeight="true" outlineLevel="0" collapsed="false">
      <c r="A355" s="228" t="n">
        <f aca="false">IF(OR(G354="",G354&lt;=0,C354&gt;150),NA(),A354+1)</f>
        <v>327</v>
      </c>
      <c r="B355" s="229" t="n">
        <f aca="false">IF(ISERROR(A355),"",IF($D$9="Annually",EDATE(B354,12),EDATE(B354,1)))</f>
        <v>56246</v>
      </c>
      <c r="C355" s="230" t="n">
        <f aca="false">IF(ISERROR(A355),"",C354+IF($D$9="Monthly",1/12,1))</f>
        <v>88.2999999999987</v>
      </c>
      <c r="D355" s="231" t="n">
        <f aca="false">IF(L354&lt;&gt;1, IF(G354&lt;E354,0,D354),IF(L354=1,IFERROR(ROUND(IF($G354 - (E354 * 6) &lt; 0, D354, ($G354 - (E354 * 6)) * $D$8 / 12),2),0) ) )</f>
        <v>12.94</v>
      </c>
      <c r="E355" s="231" t="n">
        <f aca="false">IF(ISERROR(A355), 0,  MAX(0,   MIN(    ROUND(G354 + D355, 2),    ROUND(FV($S$5, IF(type=1, A355, A354), , IF(J355&lt;&gt;1, -$D$20, -$P$16 + P355), 2), 0)   )  ) )</f>
        <v>32</v>
      </c>
      <c r="F355" s="231" t="n">
        <f aca="false">IF(J355&lt;&gt;1, "", IF(J354&lt;&gt;0, F354, $K$12))</f>
        <v>1</v>
      </c>
      <c r="G355" s="232" t="n">
        <f aca="false">IF(ISERROR(A355),"",ROUND(G354-E355+D355,2))</f>
        <v>3068.19</v>
      </c>
      <c r="H355" s="237" t="n">
        <f aca="false">IF(G355&gt;0,IFERROR(H354+(H354*($D$16/12)),""),"")</f>
        <v>31.7221751752098</v>
      </c>
      <c r="I355" s="223" t="n">
        <f aca="false">IF(ISERROR(A356),"",12 - MONTH(B355))</f>
        <v>0</v>
      </c>
      <c r="J355" s="224" t="n">
        <f aca="false">K355</f>
        <v>1</v>
      </c>
      <c r="K355" s="225" t="n">
        <f aca="false">_xlfn.IFNA(IF(B355&gt;=$K$11, 1,0),0)</f>
        <v>1</v>
      </c>
      <c r="L355" s="60" t="n">
        <f aca="false">IF(I355=0,1,"")</f>
        <v>1</v>
      </c>
      <c r="P355" s="4" t="n">
        <f aca="false">IF(AND(G355&gt;E355, A355&lt;&gt;0, V355&lt;&gt;0), $N$5 * ($P$22 ^ V355 - 1), 0)</f>
        <v>0</v>
      </c>
      <c r="V355" s="71" t="n">
        <f aca="false">IF(B355&lt;EDATE($K$11,12), 0,  DATEDIF(EDATE($K$11,12), B355 + 1, "y") + 1 )</f>
        <v>22</v>
      </c>
    </row>
    <row r="356" customFormat="false" ht="12.75" hidden="false" customHeight="true" outlineLevel="0" collapsed="false">
      <c r="A356" s="228" t="n">
        <f aca="false">IF(OR(G355="",G355&lt;=0,C355&gt;150),NA(),A355+1)</f>
        <v>328</v>
      </c>
      <c r="B356" s="229" t="n">
        <f aca="false">IF(ISERROR(A356),"",IF($D$9="Annually",EDATE(B355,12),EDATE(B355,1)))</f>
        <v>56277</v>
      </c>
      <c r="C356" s="230" t="n">
        <f aca="false">IF(ISERROR(A356),"",C355+IF($D$9="Monthly",1/12,1))</f>
        <v>88.383333333332</v>
      </c>
      <c r="D356" s="231" t="n">
        <f aca="false">IF(L355&lt;&gt;1, IF(G355&lt;E355,0,D355),IF(L355=1,IFERROR(ROUND(IF($G355 - (E355 * 6) &lt; 0, D355, ($G355 - (E355 * 6)) * $D$8 / 12),2),0) ) )</f>
        <v>11.98</v>
      </c>
      <c r="E356" s="231" t="n">
        <f aca="false">IF(ISERROR(A356), 0,  MAX(0,   MIN(    ROUND(G355 + D356, 2),    ROUND(FV($S$5, IF(type=1, A356, A355), , IF(J356&lt;&gt;1, -$D$20, -$P$16 + P356), 2), 0)   )  ) )</f>
        <v>32</v>
      </c>
      <c r="F356" s="231" t="n">
        <f aca="false">IF(J356&lt;&gt;1, "", IF(J355&lt;&gt;0, F355, $K$12))</f>
        <v>1</v>
      </c>
      <c r="G356" s="232" t="n">
        <f aca="false">IF(ISERROR(A356),"",ROUND(G355-E356+D356,2))</f>
        <v>3048.17</v>
      </c>
      <c r="H356" s="237" t="n">
        <f aca="false">IF(G356&gt;0,IFERROR(H355+(H355*($D$16/12)),""),"")</f>
        <v>31.7750454671685</v>
      </c>
      <c r="I356" s="223" t="n">
        <f aca="false">IF(ISERROR(A357),"",12 - MONTH(B356))</f>
        <v>11</v>
      </c>
      <c r="J356" s="224" t="n">
        <f aca="false">K356</f>
        <v>1</v>
      </c>
      <c r="K356" s="225" t="n">
        <f aca="false">_xlfn.IFNA(IF(B356&gt;=$K$11, 1,0),0)</f>
        <v>1</v>
      </c>
      <c r="L356" s="60" t="str">
        <f aca="false">IF(I356=0,1,"")</f>
        <v/>
      </c>
      <c r="P356" s="4" t="n">
        <f aca="false">IF(AND(G356&gt;E356, A356&lt;&gt;0, V356&lt;&gt;0), $N$5 * ($P$22 ^ V356 - 1), 0)</f>
        <v>0</v>
      </c>
      <c r="V356" s="71" t="n">
        <f aca="false">IF(B356&lt;EDATE($K$11,12), 0,  DATEDIF(EDATE($K$11,12), B356 + 1, "y") + 1 )</f>
        <v>23</v>
      </c>
    </row>
    <row r="357" customFormat="false" ht="12.75" hidden="false" customHeight="true" outlineLevel="0" collapsed="false">
      <c r="A357" s="228" t="n">
        <f aca="false">IF(OR(G356="",G356&lt;=0,C356&gt;150),NA(),A356+1)</f>
        <v>329</v>
      </c>
      <c r="B357" s="229" t="n">
        <f aca="false">IF(ISERROR(A357),"",IF($D$9="Annually",EDATE(B356,12),EDATE(B356,1)))</f>
        <v>56308</v>
      </c>
      <c r="C357" s="230" t="n">
        <f aca="false">IF(ISERROR(A357),"",C356+IF($D$9="Monthly",1/12,1))</f>
        <v>88.4666666666654</v>
      </c>
      <c r="D357" s="231" t="n">
        <f aca="false">IF(L356&lt;&gt;1, IF(G356&lt;E356,0,D356),IF(L356=1,IFERROR(ROUND(IF($G356 - (E356 * 6) &lt; 0, D356, ($G356 - (E356 * 6)) * $D$8 / 12),2),0) ) )</f>
        <v>11.98</v>
      </c>
      <c r="E357" s="231" t="n">
        <f aca="false">IF(ISERROR(A357), 0,  MAX(0,   MIN(    ROUND(G356 + D357, 2),    ROUND(FV($S$5, IF(type=1, A357, A356), , IF(J357&lt;&gt;1, -$D$20, -$P$16 + P357), 2), 0)   )  ) )</f>
        <v>32</v>
      </c>
      <c r="F357" s="231" t="n">
        <f aca="false">IF(J357&lt;&gt;1, "", IF(J356&lt;&gt;0, F356, $K$12))</f>
        <v>1</v>
      </c>
      <c r="G357" s="232" t="n">
        <f aca="false">IF(ISERROR(A357),"",ROUND(G356-E357+D357,2))</f>
        <v>3028.15</v>
      </c>
      <c r="H357" s="237" t="n">
        <f aca="false">IF(G357&gt;0,IFERROR(H356+(H356*($D$16/12)),""),"")</f>
        <v>31.8280038762804</v>
      </c>
      <c r="I357" s="223" t="n">
        <f aca="false">IF(ISERROR(A358),"",12 - MONTH(B357))</f>
        <v>10</v>
      </c>
      <c r="J357" s="224" t="n">
        <f aca="false">K357</f>
        <v>1</v>
      </c>
      <c r="K357" s="225" t="n">
        <f aca="false">_xlfn.IFNA(IF(B357&gt;=$K$11, 1,0),0)</f>
        <v>1</v>
      </c>
      <c r="L357" s="60" t="str">
        <f aca="false">IF(I357=0,1,"")</f>
        <v/>
      </c>
      <c r="P357" s="4" t="n">
        <f aca="false">IF(AND(G357&gt;E357, A357&lt;&gt;0, V357&lt;&gt;0), $N$5 * ($P$22 ^ V357 - 1), 0)</f>
        <v>0</v>
      </c>
      <c r="V357" s="71" t="n">
        <f aca="false">IF(B357&lt;EDATE($K$11,12), 0,  DATEDIF(EDATE($K$11,12), B357 + 1, "y") + 1 )</f>
        <v>23</v>
      </c>
    </row>
    <row r="358" customFormat="false" ht="12.75" hidden="false" customHeight="true" outlineLevel="0" collapsed="false">
      <c r="A358" s="228" t="n">
        <f aca="false">IF(OR(G357="",G357&lt;=0,C357&gt;150),NA(),A357+1)</f>
        <v>330</v>
      </c>
      <c r="B358" s="229" t="n">
        <f aca="false">IF(ISERROR(A358),"",IF($D$9="Annually",EDATE(B357,12),EDATE(B357,1)))</f>
        <v>56336</v>
      </c>
      <c r="C358" s="230" t="n">
        <f aca="false">IF(ISERROR(A358),"",C357+IF($D$9="Monthly",1/12,1))</f>
        <v>88.5499999999987</v>
      </c>
      <c r="D358" s="231" t="n">
        <f aca="false">IF(L357&lt;&gt;1, IF(G357&lt;E357,0,D357),IF(L357=1,IFERROR(ROUND(IF($G357 - (E357 * 6) &lt; 0, D357, ($G357 - (E357 * 6)) * $D$8 / 12),2),0) ) )</f>
        <v>11.98</v>
      </c>
      <c r="E358" s="231" t="n">
        <f aca="false">IF(ISERROR(A358), 0,  MAX(0,   MIN(    ROUND(G357 + D358, 2),    ROUND(FV($S$5, IF(type=1, A358, A357), , IF(J358&lt;&gt;1, -$D$20, -$P$16 + P358), 2), 0)   )  ) )</f>
        <v>32</v>
      </c>
      <c r="F358" s="231" t="n">
        <f aca="false">IF(J358&lt;&gt;1, "", IF(J357&lt;&gt;0, F357, $K$12))</f>
        <v>1</v>
      </c>
      <c r="G358" s="232" t="n">
        <f aca="false">IF(ISERROR(A358),"",ROUND(G357-E358+D358,2))</f>
        <v>3008.13</v>
      </c>
      <c r="H358" s="237" t="n">
        <f aca="false">IF(G358&gt;0,IFERROR(H357+(H357*($D$16/12)),""),"")</f>
        <v>31.8810505494076</v>
      </c>
      <c r="I358" s="223" t="n">
        <f aca="false">IF(ISERROR(A359),"",12 - MONTH(B358))</f>
        <v>9</v>
      </c>
      <c r="J358" s="224" t="n">
        <f aca="false">K358</f>
        <v>1</v>
      </c>
      <c r="K358" s="225" t="n">
        <f aca="false">_xlfn.IFNA(IF(B358&gt;=$K$11, 1,0),0)</f>
        <v>1</v>
      </c>
      <c r="L358" s="60" t="str">
        <f aca="false">IF(I358=0,1,"")</f>
        <v/>
      </c>
      <c r="P358" s="4" t="n">
        <f aca="false">IF(AND(G358&gt;E358, A358&lt;&gt;0, V358&lt;&gt;0), $N$5 * ($P$22 ^ V358 - 1), 0)</f>
        <v>0</v>
      </c>
      <c r="V358" s="71" t="n">
        <f aca="false">IF(B358&lt;EDATE($K$11,12), 0,  DATEDIF(EDATE($K$11,12), B358 + 1, "y") + 1 )</f>
        <v>23</v>
      </c>
    </row>
    <row r="359" customFormat="false" ht="12.75" hidden="false" customHeight="true" outlineLevel="0" collapsed="false">
      <c r="A359" s="228" t="n">
        <f aca="false">IF(OR(G358="",G358&lt;=0,C358&gt;150),NA(),A358+1)</f>
        <v>331</v>
      </c>
      <c r="B359" s="229" t="n">
        <f aca="false">IF(ISERROR(A359),"",IF($D$9="Annually",EDATE(B358,12),EDATE(B358,1)))</f>
        <v>56367</v>
      </c>
      <c r="C359" s="230" t="n">
        <f aca="false">IF(ISERROR(A359),"",C358+IF($D$9="Monthly",1/12,1))</f>
        <v>88.633333333332</v>
      </c>
      <c r="D359" s="231" t="n">
        <f aca="false">IF(L358&lt;&gt;1, IF(G358&lt;E358,0,D358),IF(L358=1,IFERROR(ROUND(IF($G358 - (E358 * 6) &lt; 0, D358, ($G358 - (E358 * 6)) * $D$8 / 12),2),0) ) )</f>
        <v>11.98</v>
      </c>
      <c r="E359" s="231" t="n">
        <f aca="false">IF(ISERROR(A359), 0,  MAX(0,   MIN(    ROUND(G358 + D359, 2),    ROUND(FV($S$5, IF(type=1, A359, A358), , IF(J359&lt;&gt;1, -$D$20, -$P$16 + P359), 2), 0)   )  ) )</f>
        <v>33</v>
      </c>
      <c r="F359" s="231" t="n">
        <f aca="false">IF(J359&lt;&gt;1, "", IF(J358&lt;&gt;0, F358, $K$12))</f>
        <v>1</v>
      </c>
      <c r="G359" s="232" t="n">
        <f aca="false">IF(ISERROR(A359),"",ROUND(G358-E359+D359,2))</f>
        <v>2987.11</v>
      </c>
      <c r="H359" s="237" t="n">
        <f aca="false">IF(G359&gt;0,IFERROR(H358+(H358*($D$16/12)),""),"")</f>
        <v>31.9341856336566</v>
      </c>
      <c r="I359" s="223" t="n">
        <f aca="false">IF(ISERROR(A360),"",12 - MONTH(B359))</f>
        <v>8</v>
      </c>
      <c r="J359" s="224" t="n">
        <f aca="false">K359</f>
        <v>1</v>
      </c>
      <c r="K359" s="225" t="n">
        <f aca="false">_xlfn.IFNA(IF(B359&gt;=$K$11, 1,0),0)</f>
        <v>1</v>
      </c>
      <c r="L359" s="60" t="str">
        <f aca="false">IF(I359=0,1,"")</f>
        <v/>
      </c>
      <c r="P359" s="4" t="n">
        <f aca="false">IF(AND(G359&gt;E359, A359&lt;&gt;0, V359&lt;&gt;0), $N$5 * ($P$22 ^ V359 - 1), 0)</f>
        <v>0</v>
      </c>
      <c r="V359" s="71" t="n">
        <f aca="false">IF(B359&lt;EDATE($K$11,12), 0,  DATEDIF(EDATE($K$11,12), B359 + 1, "y") + 1 )</f>
        <v>23</v>
      </c>
    </row>
    <row r="360" customFormat="false" ht="12.75" hidden="false" customHeight="true" outlineLevel="0" collapsed="false">
      <c r="A360" s="228" t="n">
        <f aca="false">IF(OR(G359="",G359&lt;=0,C359&gt;150),NA(),A359+1)</f>
        <v>332</v>
      </c>
      <c r="B360" s="229" t="n">
        <f aca="false">IF(ISERROR(A360),"",IF($D$9="Annually",EDATE(B359,12),EDATE(B359,1)))</f>
        <v>56397</v>
      </c>
      <c r="C360" s="230" t="n">
        <f aca="false">IF(ISERROR(A360),"",C359+IF($D$9="Monthly",1/12,1))</f>
        <v>88.7166666666654</v>
      </c>
      <c r="D360" s="231" t="n">
        <f aca="false">IF(L359&lt;&gt;1, IF(G359&lt;E359,0,D359),IF(L359=1,IFERROR(ROUND(IF($G359 - (E359 * 6) &lt; 0, D359, ($G359 - (E359 * 6)) * $D$8 / 12),2),0) ) )</f>
        <v>11.98</v>
      </c>
      <c r="E360" s="231" t="n">
        <f aca="false">IF(ISERROR(A360), 0,  MAX(0,   MIN(    ROUND(G359 + D360, 2),    ROUND(FV($S$5, IF(type=1, A360, A359), , IF(J360&lt;&gt;1, -$D$20, -$P$16 + P360), 2), 0)   )  ) )</f>
        <v>33</v>
      </c>
      <c r="F360" s="231" t="n">
        <f aca="false">IF(J360&lt;&gt;1, "", IF(J359&lt;&gt;0, F359, $K$12))</f>
        <v>1</v>
      </c>
      <c r="G360" s="232" t="n">
        <f aca="false">IF(ISERROR(A360),"",ROUND(G359-E360+D360,2))</f>
        <v>2966.09</v>
      </c>
      <c r="H360" s="237" t="n">
        <f aca="false">IF(G360&gt;0,IFERROR(H359+(H359*($D$16/12)),""),"")</f>
        <v>31.9874092763793</v>
      </c>
      <c r="I360" s="223" t="n">
        <f aca="false">IF(ISERROR(A361),"",12 - MONTH(B360))</f>
        <v>7</v>
      </c>
      <c r="J360" s="224" t="n">
        <f aca="false">K360</f>
        <v>1</v>
      </c>
      <c r="K360" s="225" t="n">
        <f aca="false">_xlfn.IFNA(IF(B360&gt;=$K$11, 1,0),0)</f>
        <v>1</v>
      </c>
      <c r="L360" s="60" t="str">
        <f aca="false">IF(I360=0,1,"")</f>
        <v/>
      </c>
      <c r="P360" s="4" t="n">
        <f aca="false">IF(AND(G360&gt;E360, A360&lt;&gt;0, V360&lt;&gt;0), $N$5 * ($P$22 ^ V360 - 1), 0)</f>
        <v>0</v>
      </c>
      <c r="V360" s="71" t="n">
        <f aca="false">IF(B360&lt;EDATE($K$11,12), 0,  DATEDIF(EDATE($K$11,12), B360 + 1, "y") + 1 )</f>
        <v>23</v>
      </c>
    </row>
    <row r="361" customFormat="false" ht="12.75" hidden="false" customHeight="true" outlineLevel="0" collapsed="false">
      <c r="A361" s="228" t="n">
        <f aca="false">IF(OR(G360="",G360&lt;=0,C360&gt;150),NA(),A360+1)</f>
        <v>333</v>
      </c>
      <c r="B361" s="229" t="n">
        <f aca="false">IF(ISERROR(A361),"",IF($D$9="Annually",EDATE(B360,12),EDATE(B360,1)))</f>
        <v>56428</v>
      </c>
      <c r="C361" s="230" t="n">
        <f aca="false">IF(ISERROR(A361),"",C360+IF($D$9="Monthly",1/12,1))</f>
        <v>88.7999999999987</v>
      </c>
      <c r="D361" s="231" t="n">
        <f aca="false">IF(L360&lt;&gt;1, IF(G360&lt;E360,0,D360),IF(L360=1,IFERROR(ROUND(IF($G360 - (E360 * 6) &lt; 0, D360, ($G360 - (E360 * 6)) * $D$8 / 12),2),0) ) )</f>
        <v>11.98</v>
      </c>
      <c r="E361" s="231" t="n">
        <f aca="false">IF(ISERROR(A361), 0,  MAX(0,   MIN(    ROUND(G360 + D361, 2),    ROUND(FV($S$5, IF(type=1, A361, A360), , IF(J361&lt;&gt;1, -$D$20, -$P$16 + P361), 2), 0)   )  ) )</f>
        <v>33</v>
      </c>
      <c r="F361" s="231" t="n">
        <f aca="false">IF(J361&lt;&gt;1, "", IF(J360&lt;&gt;0, F360, $K$12))</f>
        <v>1</v>
      </c>
      <c r="G361" s="232" t="n">
        <f aca="false">IF(ISERROR(A361),"",ROUND(G360-E361+D361,2))</f>
        <v>2945.07</v>
      </c>
      <c r="H361" s="237" t="n">
        <f aca="false">IF(G361&gt;0,IFERROR(H360+(H360*($D$16/12)),""),"")</f>
        <v>32.0407216251733</v>
      </c>
      <c r="I361" s="223" t="n">
        <f aca="false">IF(ISERROR(A362),"",12 - MONTH(B361))</f>
        <v>6</v>
      </c>
      <c r="J361" s="224" t="n">
        <f aca="false">K361</f>
        <v>1</v>
      </c>
      <c r="K361" s="225" t="n">
        <f aca="false">_xlfn.IFNA(IF(B361&gt;=$K$11, 1,0),0)</f>
        <v>1</v>
      </c>
      <c r="L361" s="60" t="str">
        <f aca="false">IF(I361=0,1,"")</f>
        <v/>
      </c>
      <c r="P361" s="4" t="n">
        <f aca="false">IF(AND(G361&gt;E361, A361&lt;&gt;0, V361&lt;&gt;0), $N$5 * ($P$22 ^ V361 - 1), 0)</f>
        <v>0</v>
      </c>
      <c r="V361" s="71" t="n">
        <f aca="false">IF(B361&lt;EDATE($K$11,12), 0,  DATEDIF(EDATE($K$11,12), B361 + 1, "y") + 1 )</f>
        <v>23</v>
      </c>
    </row>
    <row r="362" customFormat="false" ht="12.75" hidden="false" customHeight="true" outlineLevel="0" collapsed="false">
      <c r="A362" s="228" t="n">
        <f aca="false">IF(OR(G361="",G361&lt;=0,C361&gt;150),NA(),A361+1)</f>
        <v>334</v>
      </c>
      <c r="B362" s="229" t="n">
        <f aca="false">IF(ISERROR(A362),"",IF($D$9="Annually",EDATE(B361,12),EDATE(B361,1)))</f>
        <v>56458</v>
      </c>
      <c r="C362" s="230" t="n">
        <f aca="false">IF(ISERROR(A362),"",C361+IF($D$9="Monthly",1/12,1))</f>
        <v>88.883333333332</v>
      </c>
      <c r="D362" s="231" t="n">
        <f aca="false">IF(L361&lt;&gt;1, IF(G361&lt;E361,0,D361),IF(L361=1,IFERROR(ROUND(IF($G361 - (E361 * 6) &lt; 0, D361, ($G361 - (E361 * 6)) * $D$8 / 12),2),0) ) )</f>
        <v>11.98</v>
      </c>
      <c r="E362" s="231" t="n">
        <f aca="false">IF(ISERROR(A362), 0,  MAX(0,   MIN(    ROUND(G361 + D362, 2),    ROUND(FV($S$5, IF(type=1, A362, A361), , IF(J362&lt;&gt;1, -$D$20, -$P$16 + P362), 2), 0)   )  ) )</f>
        <v>33</v>
      </c>
      <c r="F362" s="231" t="n">
        <f aca="false">IF(J362&lt;&gt;1, "", IF(J361&lt;&gt;0, F361, $K$12))</f>
        <v>1</v>
      </c>
      <c r="G362" s="232" t="n">
        <f aca="false">IF(ISERROR(A362),"",ROUND(G361-E362+D362,2))</f>
        <v>2924.05</v>
      </c>
      <c r="H362" s="237" t="n">
        <f aca="false">IF(G362&gt;0,IFERROR(H361+(H361*($D$16/12)),""),"")</f>
        <v>32.0941228278819</v>
      </c>
      <c r="I362" s="223" t="n">
        <f aca="false">IF(ISERROR(A363),"",12 - MONTH(B362))</f>
        <v>5</v>
      </c>
      <c r="J362" s="224" t="n">
        <f aca="false">K362</f>
        <v>1</v>
      </c>
      <c r="K362" s="225" t="n">
        <f aca="false">_xlfn.IFNA(IF(B362&gt;=$K$11, 1,0),0)</f>
        <v>1</v>
      </c>
      <c r="L362" s="60" t="str">
        <f aca="false">IF(I362=0,1,"")</f>
        <v/>
      </c>
      <c r="P362" s="4" t="n">
        <f aca="false">IF(AND(G362&gt;E362, A362&lt;&gt;0, V362&lt;&gt;0), $N$5 * ($P$22 ^ V362 - 1), 0)</f>
        <v>0</v>
      </c>
      <c r="V362" s="71" t="n">
        <f aca="false">IF(B362&lt;EDATE($K$11,12), 0,  DATEDIF(EDATE($K$11,12), B362 + 1, "y") + 1 )</f>
        <v>23</v>
      </c>
    </row>
    <row r="363" customFormat="false" ht="12.75" hidden="false" customHeight="true" outlineLevel="0" collapsed="false">
      <c r="A363" s="228" t="n">
        <f aca="false">IF(OR(G362="",G362&lt;=0,C362&gt;150),NA(),A362+1)</f>
        <v>335</v>
      </c>
      <c r="B363" s="229" t="n">
        <f aca="false">IF(ISERROR(A363),"",IF($D$9="Annually",EDATE(B362,12),EDATE(B362,1)))</f>
        <v>56489</v>
      </c>
      <c r="C363" s="230" t="n">
        <f aca="false">IF(ISERROR(A363),"",C362+IF($D$9="Monthly",1/12,1))</f>
        <v>88.9666666666653</v>
      </c>
      <c r="D363" s="231" t="n">
        <f aca="false">IF(L362&lt;&gt;1, IF(G362&lt;E362,0,D362),IF(L362=1,IFERROR(ROUND(IF($G362 - (E362 * 6) &lt; 0, D362, ($G362 - (E362 * 6)) * $D$8 / 12),2),0) ) )</f>
        <v>11.98</v>
      </c>
      <c r="E363" s="231" t="n">
        <f aca="false">IF(ISERROR(A363), 0,  MAX(0,   MIN(    ROUND(G362 + D363, 2),    ROUND(FV($S$5, IF(type=1, A363, A362), , IF(J363&lt;&gt;1, -$D$20, -$P$16 + P363), 2), 0)   )  ) )</f>
        <v>33</v>
      </c>
      <c r="F363" s="231" t="n">
        <f aca="false">IF(J363&lt;&gt;1, "", IF(J362&lt;&gt;0, F362, $K$12))</f>
        <v>1</v>
      </c>
      <c r="G363" s="232" t="n">
        <f aca="false">IF(ISERROR(A363),"",ROUND(G362-E363+D363,2))</f>
        <v>2903.03</v>
      </c>
      <c r="H363" s="237" t="n">
        <f aca="false">IF(G363&gt;0,IFERROR(H362+(H362*($D$16/12)),""),"")</f>
        <v>32.147613032595</v>
      </c>
      <c r="I363" s="223" t="n">
        <f aca="false">IF(ISERROR(A364),"",12 - MONTH(B363))</f>
        <v>4</v>
      </c>
      <c r="J363" s="224" t="n">
        <f aca="false">K363</f>
        <v>1</v>
      </c>
      <c r="K363" s="225" t="n">
        <f aca="false">_xlfn.IFNA(IF(B363&gt;=$K$11, 1,0),0)</f>
        <v>1</v>
      </c>
      <c r="L363" s="60" t="str">
        <f aca="false">IF(I363=0,1,"")</f>
        <v/>
      </c>
      <c r="P363" s="4" t="n">
        <f aca="false">IF(AND(G363&gt;E363, A363&lt;&gt;0, V363&lt;&gt;0), $N$5 * ($P$22 ^ V363 - 1), 0)</f>
        <v>0</v>
      </c>
      <c r="V363" s="71" t="n">
        <f aca="false">IF(B363&lt;EDATE($K$11,12), 0,  DATEDIF(EDATE($K$11,12), B363 + 1, "y") + 1 )</f>
        <v>23</v>
      </c>
    </row>
    <row r="364" customFormat="false" ht="12.75" hidden="false" customHeight="true" outlineLevel="0" collapsed="false">
      <c r="A364" s="228" t="n">
        <f aca="false">IF(OR(G363="",G363&lt;=0,C363&gt;150),NA(),A363+1)</f>
        <v>336</v>
      </c>
      <c r="B364" s="229" t="n">
        <f aca="false">IF(ISERROR(A364),"",IF($D$9="Annually",EDATE(B363,12),EDATE(B363,1)))</f>
        <v>56520</v>
      </c>
      <c r="C364" s="230" t="n">
        <f aca="false">IF(ISERROR(A364),"",C363+IF($D$9="Monthly",1/12,1))</f>
        <v>89.0499999999987</v>
      </c>
      <c r="D364" s="231" t="n">
        <f aca="false">IF(L363&lt;&gt;1, IF(G363&lt;E363,0,D363),IF(L363=1,IFERROR(ROUND(IF($G363 - (E363 * 6) &lt; 0, D363, ($G363 - (E363 * 6)) * $D$8 / 12),2),0) ) )</f>
        <v>11.98</v>
      </c>
      <c r="E364" s="231" t="n">
        <f aca="false">IF(ISERROR(A364), 0,  MAX(0,   MIN(    ROUND(G363 + D364, 2),    ROUND(FV($S$5, IF(type=1, A364, A363), , IF(J364&lt;&gt;1, -$D$20, -$P$16 + P364), 2), 0)   )  ) )</f>
        <v>33</v>
      </c>
      <c r="F364" s="231" t="n">
        <f aca="false">IF(J364&lt;&gt;1, "", IF(J363&lt;&gt;0, F363, $K$12))</f>
        <v>1</v>
      </c>
      <c r="G364" s="232" t="n">
        <f aca="false">IF(ISERROR(A364),"",ROUND(G363-E364+D364,2))</f>
        <v>2882.01</v>
      </c>
      <c r="H364" s="237" t="n">
        <f aca="false">IF(G364&gt;0,IFERROR(H363+(H363*($D$16/12)),""),"")</f>
        <v>32.2011923876494</v>
      </c>
      <c r="I364" s="223" t="n">
        <f aca="false">IF(ISERROR(A365),"",12 - MONTH(B364))</f>
        <v>3</v>
      </c>
      <c r="J364" s="224" t="n">
        <f aca="false">K364</f>
        <v>1</v>
      </c>
      <c r="K364" s="225" t="n">
        <f aca="false">_xlfn.IFNA(IF(B364&gt;=$K$11, 1,0),0)</f>
        <v>1</v>
      </c>
      <c r="L364" s="60" t="str">
        <f aca="false">IF(I364=0,1,"")</f>
        <v/>
      </c>
      <c r="P364" s="4" t="n">
        <f aca="false">IF(AND(G364&gt;E364, A364&lt;&gt;0, V364&lt;&gt;0), $N$5 * ($P$22 ^ V364 - 1), 0)</f>
        <v>0</v>
      </c>
      <c r="V364" s="71" t="n">
        <f aca="false">IF(B364&lt;EDATE($K$11,12), 0,  DATEDIF(EDATE($K$11,12), B364 + 1, "y") + 1 )</f>
        <v>23</v>
      </c>
    </row>
    <row r="365" customFormat="false" ht="12.75" hidden="false" customHeight="true" outlineLevel="0" collapsed="false">
      <c r="A365" s="228" t="n">
        <f aca="false">IF(OR(G364="",G364&lt;=0,C364&gt;150),NA(),A364+1)</f>
        <v>337</v>
      </c>
      <c r="B365" s="229" t="n">
        <f aca="false">IF(ISERROR(A365),"",IF($D$9="Annually",EDATE(B364,12),EDATE(B364,1)))</f>
        <v>56550</v>
      </c>
      <c r="C365" s="230" t="n">
        <f aca="false">IF(ISERROR(A365),"",C364+IF($D$9="Monthly",1/12,1))</f>
        <v>89.133333333332</v>
      </c>
      <c r="D365" s="231" t="n">
        <f aca="false">IF(L364&lt;&gt;1, IF(G364&lt;E364,0,D364),IF(L364=1,IFERROR(ROUND(IF($G364 - (E364 * 6) &lt; 0, D364, ($G364 - (E364 * 6)) * $D$8 / 12),2),0) ) )</f>
        <v>11.98</v>
      </c>
      <c r="E365" s="231" t="n">
        <f aca="false">IF(ISERROR(A365), 0,  MAX(0,   MIN(    ROUND(G364 + D365, 2),    ROUND(FV($S$5, IF(type=1, A365, A364), , IF(J365&lt;&gt;1, -$D$20, -$P$16 + P365), 2), 0)   )  ) )</f>
        <v>33</v>
      </c>
      <c r="F365" s="231" t="n">
        <f aca="false">IF(J365&lt;&gt;1, "", IF(J364&lt;&gt;0, F364, $K$12))</f>
        <v>1</v>
      </c>
      <c r="G365" s="232" t="n">
        <f aca="false">IF(ISERROR(A365),"",ROUND(G364-E365+D365,2))</f>
        <v>2860.99</v>
      </c>
      <c r="H365" s="237" t="n">
        <f aca="false">IF(G365&gt;0,IFERROR(H364+(H364*($D$16/12)),""),"")</f>
        <v>32.2548610416288</v>
      </c>
      <c r="I365" s="223" t="n">
        <f aca="false">IF(ISERROR(A366),"",12 - MONTH(B365))</f>
        <v>2</v>
      </c>
      <c r="J365" s="224" t="n">
        <f aca="false">K365</f>
        <v>1</v>
      </c>
      <c r="K365" s="225" t="n">
        <f aca="false">_xlfn.IFNA(IF(B365&gt;=$K$11, 1,0),0)</f>
        <v>1</v>
      </c>
      <c r="L365" s="60" t="str">
        <f aca="false">IF(I365=0,1,"")</f>
        <v/>
      </c>
      <c r="P365" s="4" t="n">
        <f aca="false">IF(AND(G365&gt;E365, A365&lt;&gt;0, V365&lt;&gt;0), $N$5 * ($P$22 ^ V365 - 1), 0)</f>
        <v>0</v>
      </c>
      <c r="V365" s="71" t="n">
        <f aca="false">IF(B365&lt;EDATE($K$11,12), 0,  DATEDIF(EDATE($K$11,12), B365 + 1, "y") + 1 )</f>
        <v>23</v>
      </c>
    </row>
    <row r="366" customFormat="false" ht="12.75" hidden="false" customHeight="true" outlineLevel="0" collapsed="false">
      <c r="A366" s="228" t="n">
        <f aca="false">IF(OR(G365="",G365&lt;=0,C365&gt;150),NA(),A365+1)</f>
        <v>338</v>
      </c>
      <c r="B366" s="229" t="n">
        <f aca="false">IF(ISERROR(A366),"",IF($D$9="Annually",EDATE(B365,12),EDATE(B365,1)))</f>
        <v>56581</v>
      </c>
      <c r="C366" s="230" t="n">
        <f aca="false">IF(ISERROR(A366),"",C365+IF($D$9="Monthly",1/12,1))</f>
        <v>89.2166666666653</v>
      </c>
      <c r="D366" s="231" t="n">
        <f aca="false">IF(L365&lt;&gt;1, IF(G365&lt;E365,0,D365),IF(L365=1,IFERROR(ROUND(IF($G365 - (E365 * 6) &lt; 0, D365, ($G365 - (E365 * 6)) * $D$8 / 12),2),0) ) )</f>
        <v>11.98</v>
      </c>
      <c r="E366" s="231" t="n">
        <f aca="false">IF(ISERROR(A366), 0,  MAX(0,   MIN(    ROUND(G365 + D366, 2),    ROUND(FV($S$5, IF(type=1, A366, A365), , IF(J366&lt;&gt;1, -$D$20, -$P$16 + P366), 2), 0)   )  ) )</f>
        <v>33</v>
      </c>
      <c r="F366" s="231" t="n">
        <f aca="false">IF(J366&lt;&gt;1, "", IF(J365&lt;&gt;0, F365, $K$12))</f>
        <v>1</v>
      </c>
      <c r="G366" s="232" t="n">
        <f aca="false">IF(ISERROR(A366),"",ROUND(G365-E366+D366,2))</f>
        <v>2839.97</v>
      </c>
      <c r="H366" s="237" t="n">
        <f aca="false">IF(G366&gt;0,IFERROR(H365+(H365*($D$16/12)),""),"")</f>
        <v>32.3086191433648</v>
      </c>
      <c r="I366" s="223" t="n">
        <f aca="false">IF(ISERROR(A367),"",12 - MONTH(B366))</f>
        <v>1</v>
      </c>
      <c r="J366" s="224" t="n">
        <f aca="false">K366</f>
        <v>1</v>
      </c>
      <c r="K366" s="225" t="n">
        <f aca="false">_xlfn.IFNA(IF(B366&gt;=$K$11, 1,0),0)</f>
        <v>1</v>
      </c>
      <c r="L366" s="60" t="str">
        <f aca="false">IF(I366=0,1,"")</f>
        <v/>
      </c>
      <c r="P366" s="4" t="n">
        <f aca="false">IF(AND(G366&gt;E366, A366&lt;&gt;0, V366&lt;&gt;0), $N$5 * ($P$22 ^ V366 - 1), 0)</f>
        <v>0</v>
      </c>
      <c r="V366" s="71" t="n">
        <f aca="false">IF(B366&lt;EDATE($K$11,12), 0,  DATEDIF(EDATE($K$11,12), B366 + 1, "y") + 1 )</f>
        <v>23</v>
      </c>
    </row>
    <row r="367" customFormat="false" ht="12.75" hidden="false" customHeight="true" outlineLevel="0" collapsed="false">
      <c r="A367" s="228" t="n">
        <f aca="false">IF(OR(G366="",G366&lt;=0,C366&gt;150),NA(),A366+1)</f>
        <v>339</v>
      </c>
      <c r="B367" s="229" t="n">
        <f aca="false">IF(ISERROR(A367),"",IF($D$9="Annually",EDATE(B366,12),EDATE(B366,1)))</f>
        <v>56611</v>
      </c>
      <c r="C367" s="230" t="n">
        <f aca="false">IF(ISERROR(A367),"",C366+IF($D$9="Monthly",1/12,1))</f>
        <v>89.2999999999987</v>
      </c>
      <c r="D367" s="231" t="n">
        <f aca="false">IF(L366&lt;&gt;1, IF(G366&lt;E366,0,D366),IF(L366=1,IFERROR(ROUND(IF($G366 - (E366 * 6) &lt; 0, D366, ($G366 - (E366 * 6)) * $D$8 / 12),2),0) ) )</f>
        <v>11.98</v>
      </c>
      <c r="E367" s="231" t="n">
        <f aca="false">IF(ISERROR(A367), 0,  MAX(0,   MIN(    ROUND(G366 + D367, 2),    ROUND(FV($S$5, IF(type=1, A367, A366), , IF(J367&lt;&gt;1, -$D$20, -$P$16 + P367), 2), 0)   )  ) )</f>
        <v>33</v>
      </c>
      <c r="F367" s="231" t="n">
        <f aca="false">IF(J367&lt;&gt;1, "", IF(J366&lt;&gt;0, F366, $K$12))</f>
        <v>1</v>
      </c>
      <c r="G367" s="232" t="n">
        <f aca="false">IF(ISERROR(A367),"",ROUND(G366-E367+D367,2))</f>
        <v>2818.95</v>
      </c>
      <c r="H367" s="237" t="n">
        <f aca="false">IF(G367&gt;0,IFERROR(H366+(H366*($D$16/12)),""),"")</f>
        <v>32.3624668419371</v>
      </c>
      <c r="I367" s="223" t="n">
        <f aca="false">IF(ISERROR(A368),"",12 - MONTH(B367))</f>
        <v>0</v>
      </c>
      <c r="J367" s="224" t="n">
        <f aca="false">K367</f>
        <v>1</v>
      </c>
      <c r="K367" s="225" t="n">
        <f aca="false">_xlfn.IFNA(IF(B367&gt;=$K$11, 1,0),0)</f>
        <v>1</v>
      </c>
      <c r="L367" s="60" t="n">
        <f aca="false">IF(I367=0,1,"")</f>
        <v>1</v>
      </c>
      <c r="P367" s="4" t="n">
        <f aca="false">IF(AND(G367&gt;E367, A367&lt;&gt;0, V367&lt;&gt;0), $N$5 * ($P$22 ^ V367 - 1), 0)</f>
        <v>0</v>
      </c>
      <c r="V367" s="71" t="n">
        <f aca="false">IF(B367&lt;EDATE($K$11,12), 0,  DATEDIF(EDATE($K$11,12), B367 + 1, "y") + 1 )</f>
        <v>23</v>
      </c>
    </row>
    <row r="368" customFormat="false" ht="12.75" hidden="false" customHeight="true" outlineLevel="0" collapsed="false">
      <c r="A368" s="228" t="n">
        <f aca="false">IF(OR(G367="",G367&lt;=0,C367&gt;150),NA(),A367+1)</f>
        <v>340</v>
      </c>
      <c r="B368" s="229" t="n">
        <f aca="false">IF(ISERROR(A368),"",IF($D$9="Annually",EDATE(B367,12),EDATE(B367,1)))</f>
        <v>56642</v>
      </c>
      <c r="C368" s="230" t="n">
        <f aca="false">IF(ISERROR(A368),"",C367+IF($D$9="Monthly",1/12,1))</f>
        <v>89.383333333332</v>
      </c>
      <c r="D368" s="231" t="n">
        <f aca="false">IF(L367&lt;&gt;1, IF(G367&lt;E367,0,D367),IF(L367=1,IFERROR(ROUND(IF($G367 - (E367 * 6) &lt; 0, D367, ($G367 - (E367 * 6)) * $D$8 / 12),2),0) ) )</f>
        <v>10.92</v>
      </c>
      <c r="E368" s="231" t="n">
        <f aca="false">IF(ISERROR(A368), 0,  MAX(0,   MIN(    ROUND(G367 + D368, 2),    ROUND(FV($S$5, IF(type=1, A368, A367), , IF(J368&lt;&gt;1, -$D$20, -$P$16 + P368), 2), 0)   )  ) )</f>
        <v>33</v>
      </c>
      <c r="F368" s="231" t="n">
        <f aca="false">IF(J368&lt;&gt;1, "", IF(J367&lt;&gt;0, F367, $K$12))</f>
        <v>1</v>
      </c>
      <c r="G368" s="232" t="n">
        <f aca="false">IF(ISERROR(A368),"",ROUND(G367-E368+D368,2))</f>
        <v>2796.87</v>
      </c>
      <c r="H368" s="237" t="n">
        <f aca="false">IF(G368&gt;0,IFERROR(H367+(H367*($D$16/12)),""),"")</f>
        <v>32.4164042866737</v>
      </c>
      <c r="I368" s="223" t="n">
        <f aca="false">IF(ISERROR(A369),"",12 - MONTH(B368))</f>
        <v>11</v>
      </c>
      <c r="J368" s="224" t="n">
        <f aca="false">K368</f>
        <v>1</v>
      </c>
      <c r="K368" s="225" t="n">
        <f aca="false">_xlfn.IFNA(IF(B368&gt;=$K$11, 1,0),0)</f>
        <v>1</v>
      </c>
      <c r="L368" s="60" t="str">
        <f aca="false">IF(I368=0,1,"")</f>
        <v/>
      </c>
      <c r="P368" s="4" t="n">
        <f aca="false">IF(AND(G368&gt;E368, A368&lt;&gt;0, V368&lt;&gt;0), $N$5 * ($P$22 ^ V368 - 1), 0)</f>
        <v>0</v>
      </c>
      <c r="V368" s="71" t="n">
        <f aca="false">IF(B368&lt;EDATE($K$11,12), 0,  DATEDIF(EDATE($K$11,12), B368 + 1, "y") + 1 )</f>
        <v>24</v>
      </c>
    </row>
    <row r="369" customFormat="false" ht="12.75" hidden="false" customHeight="true" outlineLevel="0" collapsed="false">
      <c r="A369" s="228" t="n">
        <f aca="false">IF(OR(G368="",G368&lt;=0,C368&gt;150),NA(),A368+1)</f>
        <v>341</v>
      </c>
      <c r="B369" s="229" t="n">
        <f aca="false">IF(ISERROR(A369),"",IF($D$9="Annually",EDATE(B368,12),EDATE(B368,1)))</f>
        <v>56673</v>
      </c>
      <c r="C369" s="230" t="n">
        <f aca="false">IF(ISERROR(A369),"",C368+IF($D$9="Monthly",1/12,1))</f>
        <v>89.4666666666653</v>
      </c>
      <c r="D369" s="231" t="n">
        <f aca="false">IF(L368&lt;&gt;1, IF(G368&lt;E368,0,D368),IF(L368=1,IFERROR(ROUND(IF($G368 - (E368 * 6) &lt; 0, D368, ($G368 - (E368 * 6)) * $D$8 / 12),2),0) ) )</f>
        <v>10.92</v>
      </c>
      <c r="E369" s="231" t="n">
        <f aca="false">IF(ISERROR(A369), 0,  MAX(0,   MIN(    ROUND(G368 + D369, 2),    ROUND(FV($S$5, IF(type=1, A369, A368), , IF(J369&lt;&gt;1, -$D$20, -$P$16 + P369), 2), 0)   )  ) )</f>
        <v>33</v>
      </c>
      <c r="F369" s="231" t="n">
        <f aca="false">IF(J369&lt;&gt;1, "", IF(J368&lt;&gt;0, F368, $K$12))</f>
        <v>1</v>
      </c>
      <c r="G369" s="232" t="n">
        <f aca="false">IF(ISERROR(A369),"",ROUND(G368-E369+D369,2))</f>
        <v>2774.79</v>
      </c>
      <c r="H369" s="237" t="n">
        <f aca="false">IF(G369&gt;0,IFERROR(H368+(H368*($D$16/12)),""),"")</f>
        <v>32.4704316271515</v>
      </c>
      <c r="I369" s="223" t="n">
        <f aca="false">IF(ISERROR(A370),"",12 - MONTH(B369))</f>
        <v>10</v>
      </c>
      <c r="J369" s="224" t="n">
        <f aca="false">K369</f>
        <v>1</v>
      </c>
      <c r="K369" s="225" t="n">
        <f aca="false">_xlfn.IFNA(IF(B369&gt;=$K$11, 1,0),0)</f>
        <v>1</v>
      </c>
      <c r="L369" s="60" t="str">
        <f aca="false">IF(I369=0,1,"")</f>
        <v/>
      </c>
      <c r="P369" s="4" t="n">
        <f aca="false">IF(AND(G369&gt;E369, A369&lt;&gt;0, V369&lt;&gt;0), $N$5 * ($P$22 ^ V369 - 1), 0)</f>
        <v>0</v>
      </c>
      <c r="V369" s="71" t="n">
        <f aca="false">IF(B369&lt;EDATE($K$11,12), 0,  DATEDIF(EDATE($K$11,12), B369 + 1, "y") + 1 )</f>
        <v>24</v>
      </c>
    </row>
    <row r="370" customFormat="false" ht="12.75" hidden="false" customHeight="true" outlineLevel="0" collapsed="false">
      <c r="A370" s="228" t="n">
        <f aca="false">IF(OR(G369="",G369&lt;=0,C369&gt;150),NA(),A369+1)</f>
        <v>342</v>
      </c>
      <c r="B370" s="229" t="n">
        <f aca="false">IF(ISERROR(A370),"",IF($D$9="Annually",EDATE(B369,12),EDATE(B369,1)))</f>
        <v>56701</v>
      </c>
      <c r="C370" s="230" t="n">
        <f aca="false">IF(ISERROR(A370),"",C369+IF($D$9="Monthly",1/12,1))</f>
        <v>89.5499999999986</v>
      </c>
      <c r="D370" s="231" t="n">
        <f aca="false">IF(L369&lt;&gt;1, IF(G369&lt;E369,0,D369),IF(L369=1,IFERROR(ROUND(IF($G369 - (E369 * 6) &lt; 0, D369, ($G369 - (E369 * 6)) * $D$8 / 12),2),0) ) )</f>
        <v>10.92</v>
      </c>
      <c r="E370" s="231" t="n">
        <f aca="false">IF(ISERROR(A370), 0,  MAX(0,   MIN(    ROUND(G369 + D370, 2),    ROUND(FV($S$5, IF(type=1, A370, A369), , IF(J370&lt;&gt;1, -$D$20, -$P$16 + P370), 2), 0)   )  ) )</f>
        <v>33</v>
      </c>
      <c r="F370" s="231" t="n">
        <f aca="false">IF(J370&lt;&gt;1, "", IF(J369&lt;&gt;0, F369, $K$12))</f>
        <v>1</v>
      </c>
      <c r="G370" s="232" t="n">
        <f aca="false">IF(ISERROR(A370),"",ROUND(G369-E370+D370,2))</f>
        <v>2752.71</v>
      </c>
      <c r="H370" s="237" t="n">
        <f aca="false">IF(G370&gt;0,IFERROR(H369+(H369*($D$16/12)),""),"")</f>
        <v>32.5245490131967</v>
      </c>
      <c r="I370" s="223" t="n">
        <f aca="false">IF(ISERROR(A371),"",12 - MONTH(B370))</f>
        <v>9</v>
      </c>
      <c r="J370" s="224" t="n">
        <f aca="false">K370</f>
        <v>1</v>
      </c>
      <c r="K370" s="225" t="n">
        <f aca="false">_xlfn.IFNA(IF(B370&gt;=$K$11, 1,0),0)</f>
        <v>1</v>
      </c>
      <c r="L370" s="60" t="str">
        <f aca="false">IF(I370=0,1,"")</f>
        <v/>
      </c>
      <c r="P370" s="4" t="n">
        <f aca="false">IF(AND(G370&gt;E370, A370&lt;&gt;0, V370&lt;&gt;0), $N$5 * ($P$22 ^ V370 - 1), 0)</f>
        <v>0</v>
      </c>
      <c r="V370" s="71" t="n">
        <f aca="false">IF(B370&lt;EDATE($K$11,12), 0,  DATEDIF(EDATE($K$11,12), B370 + 1, "y") + 1 )</f>
        <v>24</v>
      </c>
    </row>
    <row r="371" customFormat="false" ht="12.75" hidden="false" customHeight="true" outlineLevel="0" collapsed="false">
      <c r="A371" s="228" t="n">
        <f aca="false">IF(OR(G370="",G370&lt;=0,C370&gt;150),NA(),A370+1)</f>
        <v>343</v>
      </c>
      <c r="B371" s="229" t="n">
        <f aca="false">IF(ISERROR(A371),"",IF($D$9="Annually",EDATE(B370,12),EDATE(B370,1)))</f>
        <v>56732</v>
      </c>
      <c r="C371" s="230" t="n">
        <f aca="false">IF(ISERROR(A371),"",C370+IF($D$9="Monthly",1/12,1))</f>
        <v>89.633333333332</v>
      </c>
      <c r="D371" s="231" t="n">
        <f aca="false">IF(L370&lt;&gt;1, IF(G370&lt;E370,0,D370),IF(L370=1,IFERROR(ROUND(IF($G370 - (E370 * 6) &lt; 0, D370, ($G370 - (E370 * 6)) * $D$8 / 12),2),0) ) )</f>
        <v>10.92</v>
      </c>
      <c r="E371" s="231" t="n">
        <f aca="false">IF(ISERROR(A371), 0,  MAX(0,   MIN(    ROUND(G370 + D371, 2),    ROUND(FV($S$5, IF(type=1, A371, A370), , IF(J371&lt;&gt;1, -$D$20, -$P$16 + P371), 2), 0)   )  ) )</f>
        <v>33</v>
      </c>
      <c r="F371" s="231" t="n">
        <f aca="false">IF(J371&lt;&gt;1, "", IF(J370&lt;&gt;0, F370, $K$12))</f>
        <v>1</v>
      </c>
      <c r="G371" s="232" t="n">
        <f aca="false">IF(ISERROR(A371),"",ROUND(G370-E371+D371,2))</f>
        <v>2730.63</v>
      </c>
      <c r="H371" s="237" t="n">
        <f aca="false">IF(G371&gt;0,IFERROR(H370+(H370*($D$16/12)),""),"")</f>
        <v>32.5787565948854</v>
      </c>
      <c r="I371" s="223" t="n">
        <f aca="false">IF(ISERROR(A372),"",12 - MONTH(B371))</f>
        <v>8</v>
      </c>
      <c r="J371" s="224" t="n">
        <f aca="false">K371</f>
        <v>1</v>
      </c>
      <c r="K371" s="225" t="n">
        <f aca="false">_xlfn.IFNA(IF(B371&gt;=$K$11, 1,0),0)</f>
        <v>1</v>
      </c>
      <c r="L371" s="60" t="str">
        <f aca="false">IF(I371=0,1,"")</f>
        <v/>
      </c>
      <c r="P371" s="4" t="n">
        <f aca="false">IF(AND(G371&gt;E371, A371&lt;&gt;0, V371&lt;&gt;0), $N$5 * ($P$22 ^ V371 - 1), 0)</f>
        <v>0</v>
      </c>
      <c r="V371" s="71" t="n">
        <f aca="false">IF(B371&lt;EDATE($K$11,12), 0,  DATEDIF(EDATE($K$11,12), B371 + 1, "y") + 1 )</f>
        <v>24</v>
      </c>
    </row>
    <row r="372" customFormat="false" ht="12.75" hidden="false" customHeight="true" outlineLevel="0" collapsed="false">
      <c r="A372" s="228" t="n">
        <f aca="false">IF(OR(G371="",G371&lt;=0,C371&gt;150),NA(),A371+1)</f>
        <v>344</v>
      </c>
      <c r="B372" s="229" t="n">
        <f aca="false">IF(ISERROR(A372),"",IF($D$9="Annually",EDATE(B371,12),EDATE(B371,1)))</f>
        <v>56762</v>
      </c>
      <c r="C372" s="230" t="n">
        <f aca="false">IF(ISERROR(A372),"",C371+IF($D$9="Monthly",1/12,1))</f>
        <v>89.7166666666653</v>
      </c>
      <c r="D372" s="231" t="n">
        <f aca="false">IF(L371&lt;&gt;1, IF(G371&lt;E371,0,D371),IF(L371=1,IFERROR(ROUND(IF($G371 - (E371 * 6) &lt; 0, D371, ($G371 - (E371 * 6)) * $D$8 / 12),2),0) ) )</f>
        <v>10.92</v>
      </c>
      <c r="E372" s="231" t="n">
        <f aca="false">IF(ISERROR(A372), 0,  MAX(0,   MIN(    ROUND(G371 + D372, 2),    ROUND(FV($S$5, IF(type=1, A372, A371), , IF(J372&lt;&gt;1, -$D$20, -$P$16 + P372), 2), 0)   )  ) )</f>
        <v>33</v>
      </c>
      <c r="F372" s="231" t="n">
        <f aca="false">IF(J372&lt;&gt;1, "", IF(J371&lt;&gt;0, F371, $K$12))</f>
        <v>1</v>
      </c>
      <c r="G372" s="232" t="n">
        <f aca="false">IF(ISERROR(A372),"",ROUND(G371-E372+D372,2))</f>
        <v>2708.55</v>
      </c>
      <c r="H372" s="237" t="n">
        <f aca="false">IF(G372&gt;0,IFERROR(H371+(H371*($D$16/12)),""),"")</f>
        <v>32.6330545225435</v>
      </c>
      <c r="I372" s="223" t="n">
        <f aca="false">IF(ISERROR(A373),"",12 - MONTH(B372))</f>
        <v>7</v>
      </c>
      <c r="J372" s="224" t="n">
        <f aca="false">K372</f>
        <v>1</v>
      </c>
      <c r="K372" s="225" t="n">
        <f aca="false">_xlfn.IFNA(IF(B372&gt;=$K$11, 1,0),0)</f>
        <v>1</v>
      </c>
      <c r="L372" s="60" t="str">
        <f aca="false">IF(I372=0,1,"")</f>
        <v/>
      </c>
      <c r="P372" s="4" t="n">
        <f aca="false">IF(AND(G372&gt;E372, A372&lt;&gt;0, V372&lt;&gt;0), $N$5 * ($P$22 ^ V372 - 1), 0)</f>
        <v>0</v>
      </c>
      <c r="V372" s="71" t="n">
        <f aca="false">IF(B372&lt;EDATE($K$11,12), 0,  DATEDIF(EDATE($K$11,12), B372 + 1, "y") + 1 )</f>
        <v>24</v>
      </c>
    </row>
    <row r="373" customFormat="false" ht="12.75" hidden="false" customHeight="true" outlineLevel="0" collapsed="false">
      <c r="A373" s="228" t="n">
        <f aca="false">IF(OR(G372="",G372&lt;=0,C372&gt;150),NA(),A372+1)</f>
        <v>345</v>
      </c>
      <c r="B373" s="229" t="n">
        <f aca="false">IF(ISERROR(A373),"",IF($D$9="Annually",EDATE(B372,12),EDATE(B372,1)))</f>
        <v>56793</v>
      </c>
      <c r="C373" s="230" t="n">
        <f aca="false">IF(ISERROR(A373),"",C372+IF($D$9="Monthly",1/12,1))</f>
        <v>89.7999999999986</v>
      </c>
      <c r="D373" s="231" t="n">
        <f aca="false">IF(L372&lt;&gt;1, IF(G372&lt;E372,0,D372),IF(L372=1,IFERROR(ROUND(IF($G372 - (E372 * 6) &lt; 0, D372, ($G372 - (E372 * 6)) * $D$8 / 12),2),0) ) )</f>
        <v>10.92</v>
      </c>
      <c r="E373" s="231" t="n">
        <f aca="false">IF(ISERROR(A373), 0,  MAX(0,   MIN(    ROUND(G372 + D373, 2),    ROUND(FV($S$5, IF(type=1, A373, A372), , IF(J373&lt;&gt;1, -$D$20, -$P$16 + P373), 2), 0)   )  ) )</f>
        <v>33</v>
      </c>
      <c r="F373" s="231" t="n">
        <f aca="false">IF(J373&lt;&gt;1, "", IF(J372&lt;&gt;0, F372, $K$12))</f>
        <v>1</v>
      </c>
      <c r="G373" s="232" t="n">
        <f aca="false">IF(ISERROR(A373),"",ROUND(G372-E373+D373,2))</f>
        <v>2686.47</v>
      </c>
      <c r="H373" s="237" t="n">
        <f aca="false">IF(G373&gt;0,IFERROR(H372+(H372*($D$16/12)),""),"")</f>
        <v>32.6874429467478</v>
      </c>
      <c r="I373" s="223" t="n">
        <f aca="false">IF(ISERROR(A374),"",12 - MONTH(B373))</f>
        <v>6</v>
      </c>
      <c r="J373" s="224" t="n">
        <f aca="false">K373</f>
        <v>1</v>
      </c>
      <c r="K373" s="225" t="n">
        <f aca="false">_xlfn.IFNA(IF(B373&gt;=$K$11, 1,0),0)</f>
        <v>1</v>
      </c>
      <c r="L373" s="60" t="str">
        <f aca="false">IF(I373=0,1,"")</f>
        <v/>
      </c>
      <c r="P373" s="4" t="n">
        <f aca="false">IF(AND(G373&gt;E373, A373&lt;&gt;0, V373&lt;&gt;0), $N$5 * ($P$22 ^ V373 - 1), 0)</f>
        <v>0</v>
      </c>
      <c r="V373" s="71" t="n">
        <f aca="false">IF(B373&lt;EDATE($K$11,12), 0,  DATEDIF(EDATE($K$11,12), B373 + 1, "y") + 1 )</f>
        <v>24</v>
      </c>
    </row>
    <row r="374" customFormat="false" ht="12.75" hidden="false" customHeight="true" outlineLevel="0" collapsed="false">
      <c r="A374" s="228" t="n">
        <f aca="false">IF(OR(G373="",G373&lt;=0,C373&gt;150),NA(),A373+1)</f>
        <v>346</v>
      </c>
      <c r="B374" s="229" t="n">
        <f aca="false">IF(ISERROR(A374),"",IF($D$9="Annually",EDATE(B373,12),EDATE(B373,1)))</f>
        <v>56823</v>
      </c>
      <c r="C374" s="230" t="n">
        <f aca="false">IF(ISERROR(A374),"",C373+IF($D$9="Monthly",1/12,1))</f>
        <v>89.883333333332</v>
      </c>
      <c r="D374" s="231" t="n">
        <f aca="false">IF(L373&lt;&gt;1, IF(G373&lt;E373,0,D373),IF(L373=1,IFERROR(ROUND(IF($G373 - (E373 * 6) &lt; 0, D373, ($G373 - (E373 * 6)) * $D$8 / 12),2),0) ) )</f>
        <v>10.92</v>
      </c>
      <c r="E374" s="231" t="n">
        <f aca="false">IF(ISERROR(A374), 0,  MAX(0,   MIN(    ROUND(G373 + D374, 2),    ROUND(FV($S$5, IF(type=1, A374, A373), , IF(J374&lt;&gt;1, -$D$20, -$P$16 + P374), 2), 0)   )  ) )</f>
        <v>33</v>
      </c>
      <c r="F374" s="231" t="n">
        <f aca="false">IF(J374&lt;&gt;1, "", IF(J373&lt;&gt;0, F373, $K$12))</f>
        <v>1</v>
      </c>
      <c r="G374" s="232" t="n">
        <f aca="false">IF(ISERROR(A374),"",ROUND(G373-E374+D374,2))</f>
        <v>2664.39</v>
      </c>
      <c r="H374" s="237" t="n">
        <f aca="false">IF(G374&gt;0,IFERROR(H373+(H373*($D$16/12)),""),"")</f>
        <v>32.7419220183257</v>
      </c>
      <c r="I374" s="223" t="n">
        <f aca="false">IF(ISERROR(A375),"",12 - MONTH(B374))</f>
        <v>5</v>
      </c>
      <c r="J374" s="224" t="n">
        <f aca="false">K374</f>
        <v>1</v>
      </c>
      <c r="K374" s="225" t="n">
        <f aca="false">_xlfn.IFNA(IF(B374&gt;=$K$11, 1,0),0)</f>
        <v>1</v>
      </c>
      <c r="L374" s="60" t="str">
        <f aca="false">IF(I374=0,1,"")</f>
        <v/>
      </c>
      <c r="P374" s="4" t="n">
        <f aca="false">IF(AND(G374&gt;E374, A374&lt;&gt;0, V374&lt;&gt;0), $N$5 * ($P$22 ^ V374 - 1), 0)</f>
        <v>0</v>
      </c>
      <c r="V374" s="71" t="n">
        <f aca="false">IF(B374&lt;EDATE($K$11,12), 0,  DATEDIF(EDATE($K$11,12), B374 + 1, "y") + 1 )</f>
        <v>24</v>
      </c>
    </row>
    <row r="375" customFormat="false" ht="12.75" hidden="false" customHeight="true" outlineLevel="0" collapsed="false">
      <c r="A375" s="228" t="n">
        <f aca="false">IF(OR(G374="",G374&lt;=0,C374&gt;150),NA(),A374+1)</f>
        <v>347</v>
      </c>
      <c r="B375" s="229" t="n">
        <f aca="false">IF(ISERROR(A375),"",IF($D$9="Annually",EDATE(B374,12),EDATE(B374,1)))</f>
        <v>56854</v>
      </c>
      <c r="C375" s="230" t="n">
        <f aca="false">IF(ISERROR(A375),"",C374+IF($D$9="Monthly",1/12,1))</f>
        <v>89.9666666666653</v>
      </c>
      <c r="D375" s="231" t="n">
        <f aca="false">IF(L374&lt;&gt;1, IF(G374&lt;E374,0,D374),IF(L374=1,IFERROR(ROUND(IF($G374 - (E374 * 6) &lt; 0, D374, ($G374 - (E374 * 6)) * $D$8 / 12),2),0) ) )</f>
        <v>10.92</v>
      </c>
      <c r="E375" s="231" t="n">
        <f aca="false">IF(ISERROR(A375), 0,  MAX(0,   MIN(    ROUND(G374 + D375, 2),    ROUND(FV($S$5, IF(type=1, A375, A374), , IF(J375&lt;&gt;1, -$D$20, -$P$16 + P375), 2), 0)   )  ) )</f>
        <v>33</v>
      </c>
      <c r="F375" s="231" t="n">
        <f aca="false">IF(J375&lt;&gt;1, "", IF(J374&lt;&gt;0, F374, $K$12))</f>
        <v>1</v>
      </c>
      <c r="G375" s="232" t="n">
        <f aca="false">IF(ISERROR(A375),"",ROUND(G374-E375+D375,2))</f>
        <v>2642.31</v>
      </c>
      <c r="H375" s="237" t="n">
        <f aca="false">IF(G375&gt;0,IFERROR(H374+(H374*($D$16/12)),""),"")</f>
        <v>32.7964918883562</v>
      </c>
      <c r="I375" s="223" t="n">
        <f aca="false">IF(ISERROR(A376),"",12 - MONTH(B375))</f>
        <v>4</v>
      </c>
      <c r="J375" s="224" t="n">
        <f aca="false">K375</f>
        <v>1</v>
      </c>
      <c r="K375" s="225" t="n">
        <f aca="false">_xlfn.IFNA(IF(B375&gt;=$K$11, 1,0),0)</f>
        <v>1</v>
      </c>
      <c r="L375" s="60" t="str">
        <f aca="false">IF(I375=0,1,"")</f>
        <v/>
      </c>
      <c r="P375" s="4" t="n">
        <f aca="false">IF(AND(G375&gt;E375, A375&lt;&gt;0, V375&lt;&gt;0), $N$5 * ($P$22 ^ V375 - 1), 0)</f>
        <v>0</v>
      </c>
      <c r="V375" s="71" t="n">
        <f aca="false">IF(B375&lt;EDATE($K$11,12), 0,  DATEDIF(EDATE($K$11,12), B375 + 1, "y") + 1 )</f>
        <v>24</v>
      </c>
    </row>
    <row r="376" customFormat="false" ht="12.75" hidden="false" customHeight="true" outlineLevel="0" collapsed="false">
      <c r="A376" s="228" t="n">
        <f aca="false">IF(OR(G375="",G375&lt;=0,C375&gt;150),NA(),A375+1)</f>
        <v>348</v>
      </c>
      <c r="B376" s="229" t="n">
        <f aca="false">IF(ISERROR(A376),"",IF($D$9="Annually",EDATE(B375,12),EDATE(B375,1)))</f>
        <v>56885</v>
      </c>
      <c r="C376" s="230" t="n">
        <f aca="false">IF(ISERROR(A376),"",C375+IF($D$9="Monthly",1/12,1))</f>
        <v>90.0499999999986</v>
      </c>
      <c r="D376" s="231" t="n">
        <f aca="false">IF(L375&lt;&gt;1, IF(G375&lt;E375,0,D375),IF(L375=1,IFERROR(ROUND(IF($G375 - (E375 * 6) &lt; 0, D375, ($G375 - (E375 * 6)) * $D$8 / 12),2),0) ) )</f>
        <v>10.92</v>
      </c>
      <c r="E376" s="231" t="n">
        <f aca="false">IF(ISERROR(A376), 0,  MAX(0,   MIN(    ROUND(G375 + D376, 2),    ROUND(FV($S$5, IF(type=1, A376, A375), , IF(J376&lt;&gt;1, -$D$20, -$P$16 + P376), 2), 0)   )  ) )</f>
        <v>33</v>
      </c>
      <c r="F376" s="231" t="n">
        <f aca="false">IF(J376&lt;&gt;1, "", IF(J375&lt;&gt;0, F375, $K$12))</f>
        <v>1</v>
      </c>
      <c r="G376" s="232" t="n">
        <f aca="false">IF(ISERROR(A376),"",ROUND(G375-E376+D376,2))</f>
        <v>2620.23</v>
      </c>
      <c r="H376" s="237" t="n">
        <f aca="false">IF(G376&gt;0,IFERROR(H375+(H375*($D$16/12)),""),"")</f>
        <v>32.8511527081701</v>
      </c>
      <c r="I376" s="223" t="n">
        <f aca="false">IF(ISERROR(A377),"",12 - MONTH(B376))</f>
        <v>3</v>
      </c>
      <c r="J376" s="224" t="n">
        <f aca="false">K376</f>
        <v>1</v>
      </c>
      <c r="K376" s="225" t="n">
        <f aca="false">_xlfn.IFNA(IF(B376&gt;=$K$11, 1,0),0)</f>
        <v>1</v>
      </c>
      <c r="L376" s="60" t="str">
        <f aca="false">IF(I376=0,1,"")</f>
        <v/>
      </c>
      <c r="P376" s="4" t="n">
        <f aca="false">IF(AND(G376&gt;E376, A376&lt;&gt;0, V376&lt;&gt;0), $N$5 * ($P$22 ^ V376 - 1), 0)</f>
        <v>0</v>
      </c>
      <c r="V376" s="71" t="n">
        <f aca="false">IF(B376&lt;EDATE($K$11,12), 0,  DATEDIF(EDATE($K$11,12), B376 + 1, "y") + 1 )</f>
        <v>24</v>
      </c>
    </row>
    <row r="377" customFormat="false" ht="12.75" hidden="false" customHeight="true" outlineLevel="0" collapsed="false">
      <c r="A377" s="228" t="n">
        <f aca="false">IF(OR(G376="",G376&lt;=0,C376&gt;150),NA(),A376+1)</f>
        <v>349</v>
      </c>
      <c r="B377" s="229" t="n">
        <f aca="false">IF(ISERROR(A377),"",IF($D$9="Annually",EDATE(B376,12),EDATE(B376,1)))</f>
        <v>56915</v>
      </c>
      <c r="C377" s="230" t="n">
        <f aca="false">IF(ISERROR(A377),"",C376+IF($D$9="Monthly",1/12,1))</f>
        <v>90.1333333333319</v>
      </c>
      <c r="D377" s="231" t="n">
        <f aca="false">IF(L376&lt;&gt;1, IF(G376&lt;E376,0,D376),IF(L376=1,IFERROR(ROUND(IF($G376 - (E376 * 6) &lt; 0, D376, ($G376 - (E376 * 6)) * $D$8 / 12),2),0) ) )</f>
        <v>10.92</v>
      </c>
      <c r="E377" s="231" t="n">
        <f aca="false">IF(ISERROR(A377), 0,  MAX(0,   MIN(    ROUND(G376 + D377, 2),    ROUND(FV($S$5, IF(type=1, A377, A376), , IF(J377&lt;&gt;1, -$D$20, -$P$16 + P377), 2), 0)   )  ) )</f>
        <v>34</v>
      </c>
      <c r="F377" s="231" t="n">
        <f aca="false">IF(J377&lt;&gt;1, "", IF(J376&lt;&gt;0, F376, $K$12))</f>
        <v>1</v>
      </c>
      <c r="G377" s="232" t="n">
        <f aca="false">IF(ISERROR(A377),"",ROUND(G376-E377+D377,2))</f>
        <v>2597.15</v>
      </c>
      <c r="H377" s="237" t="n">
        <f aca="false">IF(G377&gt;0,IFERROR(H376+(H376*($D$16/12)),""),"")</f>
        <v>32.9059046293504</v>
      </c>
      <c r="I377" s="223" t="n">
        <f aca="false">IF(ISERROR(A378),"",12 - MONTH(B377))</f>
        <v>2</v>
      </c>
      <c r="J377" s="224" t="n">
        <f aca="false">K377</f>
        <v>1</v>
      </c>
      <c r="K377" s="225" t="n">
        <f aca="false">_xlfn.IFNA(IF(B377&gt;=$K$11, 1,0),0)</f>
        <v>1</v>
      </c>
      <c r="L377" s="60" t="str">
        <f aca="false">IF(I377=0,1,"")</f>
        <v/>
      </c>
      <c r="P377" s="4" t="n">
        <f aca="false">IF(AND(G377&gt;E377, A377&lt;&gt;0, V377&lt;&gt;0), $N$5 * ($P$22 ^ V377 - 1), 0)</f>
        <v>0</v>
      </c>
      <c r="V377" s="71" t="n">
        <f aca="false">IF(B377&lt;EDATE($K$11,12), 0,  DATEDIF(EDATE($K$11,12), B377 + 1, "y") + 1 )</f>
        <v>24</v>
      </c>
    </row>
    <row r="378" customFormat="false" ht="12.75" hidden="false" customHeight="true" outlineLevel="0" collapsed="false">
      <c r="A378" s="228" t="n">
        <f aca="false">IF(OR(G377="",G377&lt;=0,C377&gt;150),NA(),A377+1)</f>
        <v>350</v>
      </c>
      <c r="B378" s="229" t="n">
        <f aca="false">IF(ISERROR(A378),"",IF($D$9="Annually",EDATE(B377,12),EDATE(B377,1)))</f>
        <v>56946</v>
      </c>
      <c r="C378" s="230" t="n">
        <f aca="false">IF(ISERROR(A378),"",C377+IF($D$9="Monthly",1/12,1))</f>
        <v>90.2166666666653</v>
      </c>
      <c r="D378" s="231" t="n">
        <f aca="false">IF(L377&lt;&gt;1, IF(G377&lt;E377,0,D377),IF(L377=1,IFERROR(ROUND(IF($G377 - (E377 * 6) &lt; 0, D377, ($G377 - (E377 * 6)) * $D$8 / 12),2),0) ) )</f>
        <v>10.92</v>
      </c>
      <c r="E378" s="231" t="n">
        <f aca="false">IF(ISERROR(A378), 0,  MAX(0,   MIN(    ROUND(G377 + D378, 2),    ROUND(FV($S$5, IF(type=1, A378, A377), , IF(J378&lt;&gt;1, -$D$20, -$P$16 + P378), 2), 0)   )  ) )</f>
        <v>34</v>
      </c>
      <c r="F378" s="231" t="n">
        <f aca="false">IF(J378&lt;&gt;1, "", IF(J377&lt;&gt;0, F377, $K$12))</f>
        <v>1</v>
      </c>
      <c r="G378" s="232" t="n">
        <f aca="false">IF(ISERROR(A378),"",ROUND(G377-E378+D378,2))</f>
        <v>2574.07</v>
      </c>
      <c r="H378" s="237" t="n">
        <f aca="false">IF(G378&gt;0,IFERROR(H377+(H377*($D$16/12)),""),"")</f>
        <v>32.9607478037327</v>
      </c>
      <c r="I378" s="223" t="n">
        <f aca="false">IF(ISERROR(A379),"",12 - MONTH(B378))</f>
        <v>1</v>
      </c>
      <c r="J378" s="224" t="n">
        <f aca="false">K378</f>
        <v>1</v>
      </c>
      <c r="K378" s="225" t="n">
        <f aca="false">_xlfn.IFNA(IF(B378&gt;=$K$11, 1,0),0)</f>
        <v>1</v>
      </c>
      <c r="L378" s="60" t="str">
        <f aca="false">IF(I378=0,1,"")</f>
        <v/>
      </c>
      <c r="P378" s="4" t="n">
        <f aca="false">IF(AND(G378&gt;E378, A378&lt;&gt;0, V378&lt;&gt;0), $N$5 * ($P$22 ^ V378 - 1), 0)</f>
        <v>0</v>
      </c>
      <c r="V378" s="71" t="n">
        <f aca="false">IF(B378&lt;EDATE($K$11,12), 0,  DATEDIF(EDATE($K$11,12), B378 + 1, "y") + 1 )</f>
        <v>24</v>
      </c>
    </row>
    <row r="379" customFormat="false" ht="12.75" hidden="false" customHeight="true" outlineLevel="0" collapsed="false">
      <c r="A379" s="228" t="n">
        <f aca="false">IF(OR(G378="",G378&lt;=0,C378&gt;150),NA(),A378+1)</f>
        <v>351</v>
      </c>
      <c r="B379" s="229" t="n">
        <f aca="false">IF(ISERROR(A379),"",IF($D$9="Annually",EDATE(B378,12),EDATE(B378,1)))</f>
        <v>56976</v>
      </c>
      <c r="C379" s="230" t="n">
        <f aca="false">IF(ISERROR(A379),"",C378+IF($D$9="Monthly",1/12,1))</f>
        <v>90.2999999999986</v>
      </c>
      <c r="D379" s="231" t="n">
        <f aca="false">IF(L378&lt;&gt;1, IF(G378&lt;E378,0,D378),IF(L378=1,IFERROR(ROUND(IF($G378 - (E378 * 6) &lt; 0, D378, ($G378 - (E378 * 6)) * $D$8 / 12),2),0) ) )</f>
        <v>10.92</v>
      </c>
      <c r="E379" s="231" t="n">
        <f aca="false">IF(ISERROR(A379), 0,  MAX(0,   MIN(    ROUND(G378 + D379, 2),    ROUND(FV($S$5, IF(type=1, A379, A378), , IF(J379&lt;&gt;1, -$D$20, -$P$16 + P379), 2), 0)   )  ) )</f>
        <v>34</v>
      </c>
      <c r="F379" s="231" t="n">
        <f aca="false">IF(J379&lt;&gt;1, "", IF(J378&lt;&gt;0, F378, $K$12))</f>
        <v>1</v>
      </c>
      <c r="G379" s="232" t="n">
        <f aca="false">IF(ISERROR(A379),"",ROUND(G378-E379+D379,2))</f>
        <v>2550.99</v>
      </c>
      <c r="H379" s="237" t="n">
        <f aca="false">IF(G379&gt;0,IFERROR(H378+(H378*($D$16/12)),""),"")</f>
        <v>33.0156823834056</v>
      </c>
      <c r="I379" s="223" t="n">
        <f aca="false">IF(ISERROR(A380),"",12 - MONTH(B379))</f>
        <v>0</v>
      </c>
      <c r="J379" s="224" t="n">
        <f aca="false">K379</f>
        <v>1</v>
      </c>
      <c r="K379" s="225" t="n">
        <f aca="false">_xlfn.IFNA(IF(B379&gt;=$K$11, 1,0),0)</f>
        <v>1</v>
      </c>
      <c r="L379" s="60" t="n">
        <f aca="false">IF(I379=0,1,"")</f>
        <v>1</v>
      </c>
      <c r="P379" s="4" t="n">
        <f aca="false">IF(AND(G379&gt;E379, A379&lt;&gt;0, V379&lt;&gt;0), $N$5 * ($P$22 ^ V379 - 1), 0)</f>
        <v>0</v>
      </c>
      <c r="V379" s="71" t="n">
        <f aca="false">IF(B379&lt;EDATE($K$11,12), 0,  DATEDIF(EDATE($K$11,12), B379 + 1, "y") + 1 )</f>
        <v>24</v>
      </c>
    </row>
    <row r="380" customFormat="false" ht="12.75" hidden="false" customHeight="true" outlineLevel="0" collapsed="false">
      <c r="A380" s="228" t="n">
        <f aca="false">IF(OR(G379="",G379&lt;=0,C379&gt;150),NA(),A379+1)</f>
        <v>352</v>
      </c>
      <c r="B380" s="229" t="n">
        <f aca="false">IF(ISERROR(A380),"",IF($D$9="Annually",EDATE(B379,12),EDATE(B379,1)))</f>
        <v>57007</v>
      </c>
      <c r="C380" s="230" t="n">
        <f aca="false">IF(ISERROR(A380),"",C379+IF($D$9="Monthly",1/12,1))</f>
        <v>90.3833333333319</v>
      </c>
      <c r="D380" s="231" t="n">
        <f aca="false">IF(L379&lt;&gt;1, IF(G379&lt;E379,0,D379),IF(L379=1,IFERROR(ROUND(IF($G379 - (E379 * 6) &lt; 0, D379, ($G379 - (E379 * 6)) * $D$8 / 12),2),0) ) )</f>
        <v>9.78</v>
      </c>
      <c r="E380" s="231" t="n">
        <f aca="false">IF(ISERROR(A380), 0,  MAX(0,   MIN(    ROUND(G379 + D380, 2),    ROUND(FV($S$5, IF(type=1, A380, A379), , IF(J380&lt;&gt;1, -$D$20, -$P$16 + P380), 2), 0)   )  ) )</f>
        <v>34</v>
      </c>
      <c r="F380" s="231" t="n">
        <f aca="false">IF(J380&lt;&gt;1, "", IF(J379&lt;&gt;0, F379, $K$12))</f>
        <v>1</v>
      </c>
      <c r="G380" s="232" t="n">
        <f aca="false">IF(ISERROR(A380),"",ROUND(G379-E380+D380,2))</f>
        <v>2526.77</v>
      </c>
      <c r="H380" s="237" t="n">
        <f aca="false">IF(G380&gt;0,IFERROR(H379+(H379*($D$16/12)),""),"")</f>
        <v>33.0707085207112</v>
      </c>
      <c r="I380" s="223" t="n">
        <f aca="false">IF(ISERROR(A381),"",12 - MONTH(B380))</f>
        <v>11</v>
      </c>
      <c r="J380" s="224" t="n">
        <f aca="false">K380</f>
        <v>1</v>
      </c>
      <c r="K380" s="225" t="n">
        <f aca="false">_xlfn.IFNA(IF(B380&gt;=$K$11, 1,0),0)</f>
        <v>1</v>
      </c>
      <c r="L380" s="60" t="str">
        <f aca="false">IF(I380=0,1,"")</f>
        <v/>
      </c>
      <c r="P380" s="4" t="n">
        <f aca="false">IF(AND(G380&gt;E380, A380&lt;&gt;0, V380&lt;&gt;0), $N$5 * ($P$22 ^ V380 - 1), 0)</f>
        <v>0</v>
      </c>
      <c r="V380" s="71" t="n">
        <f aca="false">IF(B380&lt;EDATE($K$11,12), 0,  DATEDIF(EDATE($K$11,12), B380 + 1, "y") + 1 )</f>
        <v>25</v>
      </c>
    </row>
    <row r="381" customFormat="false" ht="12.75" hidden="false" customHeight="true" outlineLevel="0" collapsed="false">
      <c r="A381" s="228" t="n">
        <f aca="false">IF(OR(G380="",G380&lt;=0,C380&gt;150),NA(),A380+1)</f>
        <v>353</v>
      </c>
      <c r="B381" s="229" t="n">
        <f aca="false">IF(ISERROR(A381),"",IF($D$9="Annually",EDATE(B380,12),EDATE(B380,1)))</f>
        <v>57038</v>
      </c>
      <c r="C381" s="230" t="n">
        <f aca="false">IF(ISERROR(A381),"",C380+IF($D$9="Monthly",1/12,1))</f>
        <v>90.4666666666653</v>
      </c>
      <c r="D381" s="231" t="n">
        <f aca="false">IF(L380&lt;&gt;1, IF(G380&lt;E380,0,D380),IF(L380=1,IFERROR(ROUND(IF($G380 - (E380 * 6) &lt; 0, D380, ($G380 - (E380 * 6)) * $D$8 / 12),2),0) ) )</f>
        <v>9.78</v>
      </c>
      <c r="E381" s="231" t="n">
        <f aca="false">IF(ISERROR(A381), 0,  MAX(0,   MIN(    ROUND(G380 + D381, 2),    ROUND(FV($S$5, IF(type=1, A381, A380), , IF(J381&lt;&gt;1, -$D$20, -$P$16 + P381), 2), 0)   )  ) )</f>
        <v>34</v>
      </c>
      <c r="F381" s="231" t="n">
        <f aca="false">IF(J381&lt;&gt;1, "", IF(J380&lt;&gt;0, F380, $K$12))</f>
        <v>1</v>
      </c>
      <c r="G381" s="232" t="n">
        <f aca="false">IF(ISERROR(A381),"",ROUND(G380-E381+D381,2))</f>
        <v>2502.55</v>
      </c>
      <c r="H381" s="237" t="n">
        <f aca="false">IF(G381&gt;0,IFERROR(H380+(H380*($D$16/12)),""),"")</f>
        <v>33.1258263682458</v>
      </c>
      <c r="I381" s="223" t="n">
        <f aca="false">IF(ISERROR(A382),"",12 - MONTH(B381))</f>
        <v>10</v>
      </c>
      <c r="J381" s="224" t="n">
        <f aca="false">K381</f>
        <v>1</v>
      </c>
      <c r="K381" s="225" t="n">
        <f aca="false">_xlfn.IFNA(IF(B381&gt;=$K$11, 1,0),0)</f>
        <v>1</v>
      </c>
      <c r="L381" s="60" t="str">
        <f aca="false">IF(I381=0,1,"")</f>
        <v/>
      </c>
      <c r="P381" s="4" t="n">
        <f aca="false">IF(AND(G381&gt;E381, A381&lt;&gt;0, V381&lt;&gt;0), $N$5 * ($P$22 ^ V381 - 1), 0)</f>
        <v>0</v>
      </c>
      <c r="V381" s="71" t="n">
        <f aca="false">IF(B381&lt;EDATE($K$11,12), 0,  DATEDIF(EDATE($K$11,12), B381 + 1, "y") + 1 )</f>
        <v>25</v>
      </c>
    </row>
    <row r="382" customFormat="false" ht="12.75" hidden="false" customHeight="true" outlineLevel="0" collapsed="false">
      <c r="A382" s="228" t="n">
        <f aca="false">IF(OR(G381="",G381&lt;=0,C381&gt;150),NA(),A381+1)</f>
        <v>354</v>
      </c>
      <c r="B382" s="229" t="n">
        <f aca="false">IF(ISERROR(A382),"",IF($D$9="Annually",EDATE(B381,12),EDATE(B381,1)))</f>
        <v>57067</v>
      </c>
      <c r="C382" s="230" t="n">
        <f aca="false">IF(ISERROR(A382),"",C381+IF($D$9="Monthly",1/12,1))</f>
        <v>90.5499999999986</v>
      </c>
      <c r="D382" s="231" t="n">
        <f aca="false">IF(L381&lt;&gt;1, IF(G381&lt;E381,0,D381),IF(L381=1,IFERROR(ROUND(IF($G381 - (E381 * 6) &lt; 0, D381, ($G381 - (E381 * 6)) * $D$8 / 12),2),0) ) )</f>
        <v>9.78</v>
      </c>
      <c r="E382" s="231" t="n">
        <f aca="false">IF(ISERROR(A382), 0,  MAX(0,   MIN(    ROUND(G381 + D382, 2),    ROUND(FV($S$5, IF(type=1, A382, A381), , IF(J382&lt;&gt;1, -$D$20, -$P$16 + P382), 2), 0)   )  ) )</f>
        <v>34</v>
      </c>
      <c r="F382" s="231" t="n">
        <f aca="false">IF(J382&lt;&gt;1, "", IF(J381&lt;&gt;0, F381, $K$12))</f>
        <v>1</v>
      </c>
      <c r="G382" s="232" t="n">
        <f aca="false">IF(ISERROR(A382),"",ROUND(G381-E382+D382,2))</f>
        <v>2478.33</v>
      </c>
      <c r="H382" s="237" t="n">
        <f aca="false">IF(G382&gt;0,IFERROR(H381+(H381*($D$16/12)),""),"")</f>
        <v>33.1810360788595</v>
      </c>
      <c r="I382" s="223" t="n">
        <f aca="false">IF(ISERROR(A383),"",12 - MONTH(B382))</f>
        <v>9</v>
      </c>
      <c r="J382" s="224" t="n">
        <f aca="false">K382</f>
        <v>1</v>
      </c>
      <c r="K382" s="225" t="n">
        <f aca="false">_xlfn.IFNA(IF(B382&gt;=$K$11, 1,0),0)</f>
        <v>1</v>
      </c>
      <c r="L382" s="60" t="str">
        <f aca="false">IF(I382=0,1,"")</f>
        <v/>
      </c>
      <c r="P382" s="4" t="n">
        <f aca="false">IF(AND(G382&gt;E382, A382&lt;&gt;0, V382&lt;&gt;0), $N$5 * ($P$22 ^ V382 - 1), 0)</f>
        <v>0</v>
      </c>
      <c r="V382" s="71" t="n">
        <f aca="false">IF(B382&lt;EDATE($K$11,12), 0,  DATEDIF(EDATE($K$11,12), B382 + 1, "y") + 1 )</f>
        <v>25</v>
      </c>
    </row>
    <row r="383" customFormat="false" ht="12.75" hidden="false" customHeight="true" outlineLevel="0" collapsed="false">
      <c r="A383" s="228" t="n">
        <f aca="false">IF(OR(G382="",G382&lt;=0,C382&gt;150),NA(),A382+1)</f>
        <v>355</v>
      </c>
      <c r="B383" s="229" t="n">
        <f aca="false">IF(ISERROR(A383),"",IF($D$9="Annually",EDATE(B382,12),EDATE(B382,1)))</f>
        <v>57098</v>
      </c>
      <c r="C383" s="230" t="n">
        <f aca="false">IF(ISERROR(A383),"",C382+IF($D$9="Monthly",1/12,1))</f>
        <v>90.6333333333319</v>
      </c>
      <c r="D383" s="231" t="n">
        <f aca="false">IF(L382&lt;&gt;1, IF(G382&lt;E382,0,D382),IF(L382=1,IFERROR(ROUND(IF($G382 - (E382 * 6) &lt; 0, D382, ($G382 - (E382 * 6)) * $D$8 / 12),2),0) ) )</f>
        <v>9.78</v>
      </c>
      <c r="E383" s="231" t="n">
        <f aca="false">IF(ISERROR(A383), 0,  MAX(0,   MIN(    ROUND(G382 + D383, 2),    ROUND(FV($S$5, IF(type=1, A383, A382), , IF(J383&lt;&gt;1, -$D$20, -$P$16 + P383), 2), 0)   )  ) )</f>
        <v>34</v>
      </c>
      <c r="F383" s="231" t="n">
        <f aca="false">IF(J383&lt;&gt;1, "", IF(J382&lt;&gt;0, F382, $K$12))</f>
        <v>1</v>
      </c>
      <c r="G383" s="232" t="n">
        <f aca="false">IF(ISERROR(A383),"",ROUND(G382-E383+D383,2))</f>
        <v>2454.11</v>
      </c>
      <c r="H383" s="237" t="n">
        <f aca="false">IF(G383&gt;0,IFERROR(H382+(H382*($D$16/12)),""),"")</f>
        <v>33.2363378056576</v>
      </c>
      <c r="I383" s="223" t="n">
        <f aca="false">IF(ISERROR(A384),"",12 - MONTH(B383))</f>
        <v>8</v>
      </c>
      <c r="J383" s="224" t="n">
        <f aca="false">K383</f>
        <v>1</v>
      </c>
      <c r="K383" s="225" t="n">
        <f aca="false">_xlfn.IFNA(IF(B383&gt;=$K$11, 1,0),0)</f>
        <v>1</v>
      </c>
      <c r="L383" s="60" t="str">
        <f aca="false">IF(I383=0,1,"")</f>
        <v/>
      </c>
      <c r="P383" s="4" t="n">
        <f aca="false">IF(AND(G383&gt;E383, A383&lt;&gt;0, V383&lt;&gt;0), $N$5 * ($P$22 ^ V383 - 1), 0)</f>
        <v>0</v>
      </c>
      <c r="V383" s="71" t="n">
        <f aca="false">IF(B383&lt;EDATE($K$11,12), 0,  DATEDIF(EDATE($K$11,12), B383 + 1, "y") + 1 )</f>
        <v>25</v>
      </c>
    </row>
    <row r="384" customFormat="false" ht="12.75" hidden="false" customHeight="true" outlineLevel="0" collapsed="false">
      <c r="A384" s="228" t="n">
        <f aca="false">IF(OR(G383="",G383&lt;=0,C383&gt;150),NA(),A383+1)</f>
        <v>356</v>
      </c>
      <c r="B384" s="229" t="n">
        <f aca="false">IF(ISERROR(A384),"",IF($D$9="Annually",EDATE(B383,12),EDATE(B383,1)))</f>
        <v>57128</v>
      </c>
      <c r="C384" s="230" t="n">
        <f aca="false">IF(ISERROR(A384),"",C383+IF($D$9="Monthly",1/12,1))</f>
        <v>90.7166666666652</v>
      </c>
      <c r="D384" s="231" t="n">
        <f aca="false">IF(L383&lt;&gt;1, IF(G383&lt;E383,0,D383),IF(L383=1,IFERROR(ROUND(IF($G383 - (E383 * 6) &lt; 0, D383, ($G383 - (E383 * 6)) * $D$8 / 12),2),0) ) )</f>
        <v>9.78</v>
      </c>
      <c r="E384" s="231" t="n">
        <f aca="false">IF(ISERROR(A384), 0,  MAX(0,   MIN(    ROUND(G383 + D384, 2),    ROUND(FV($S$5, IF(type=1, A384, A383), , IF(J384&lt;&gt;1, -$D$20, -$P$16 + P384), 2), 0)   )  ) )</f>
        <v>34</v>
      </c>
      <c r="F384" s="231" t="n">
        <f aca="false">IF(J384&lt;&gt;1, "", IF(J383&lt;&gt;0, F383, $K$12))</f>
        <v>1</v>
      </c>
      <c r="G384" s="232" t="n">
        <f aca="false">IF(ISERROR(A384),"",ROUND(G383-E384+D384,2))</f>
        <v>2429.89</v>
      </c>
      <c r="H384" s="237" t="n">
        <f aca="false">IF(G384&gt;0,IFERROR(H383+(H383*($D$16/12)),""),"")</f>
        <v>33.2917317020004</v>
      </c>
      <c r="I384" s="223" t="n">
        <f aca="false">IF(ISERROR(A385),"",12 - MONTH(B384))</f>
        <v>7</v>
      </c>
      <c r="J384" s="224" t="n">
        <f aca="false">K384</f>
        <v>1</v>
      </c>
      <c r="K384" s="225" t="n">
        <f aca="false">_xlfn.IFNA(IF(B384&gt;=$K$11, 1,0),0)</f>
        <v>1</v>
      </c>
      <c r="L384" s="60" t="str">
        <f aca="false">IF(I384=0,1,"")</f>
        <v/>
      </c>
      <c r="P384" s="4" t="n">
        <f aca="false">IF(AND(G384&gt;E384, A384&lt;&gt;0, V384&lt;&gt;0), $N$5 * ($P$22 ^ V384 - 1), 0)</f>
        <v>0</v>
      </c>
      <c r="V384" s="71" t="n">
        <f aca="false">IF(B384&lt;EDATE($K$11,12), 0,  DATEDIF(EDATE($K$11,12), B384 + 1, "y") + 1 )</f>
        <v>25</v>
      </c>
    </row>
    <row r="385" customFormat="false" ht="12.75" hidden="false" customHeight="true" outlineLevel="0" collapsed="false">
      <c r="A385" s="228" t="n">
        <f aca="false">IF(OR(G384="",G384&lt;=0,C384&gt;150),NA(),A384+1)</f>
        <v>357</v>
      </c>
      <c r="B385" s="229" t="n">
        <f aca="false">IF(ISERROR(A385),"",IF($D$9="Annually",EDATE(B384,12),EDATE(B384,1)))</f>
        <v>57159</v>
      </c>
      <c r="C385" s="230" t="n">
        <f aca="false">IF(ISERROR(A385),"",C384+IF($D$9="Monthly",1/12,1))</f>
        <v>90.7999999999986</v>
      </c>
      <c r="D385" s="231" t="n">
        <f aca="false">IF(L384&lt;&gt;1, IF(G384&lt;E384,0,D384),IF(L384=1,IFERROR(ROUND(IF($G384 - (E384 * 6) &lt; 0, D384, ($G384 - (E384 * 6)) * $D$8 / 12),2),0) ) )</f>
        <v>9.78</v>
      </c>
      <c r="E385" s="231" t="n">
        <f aca="false">IF(ISERROR(A385), 0,  MAX(0,   MIN(    ROUND(G384 + D385, 2),    ROUND(FV($S$5, IF(type=1, A385, A384), , IF(J385&lt;&gt;1, -$D$20, -$P$16 + P385), 2), 0)   )  ) )</f>
        <v>34</v>
      </c>
      <c r="F385" s="231" t="n">
        <f aca="false">IF(J385&lt;&gt;1, "", IF(J384&lt;&gt;0, F384, $K$12))</f>
        <v>1</v>
      </c>
      <c r="G385" s="232" t="n">
        <f aca="false">IF(ISERROR(A385),"",ROUND(G384-E385+D385,2))</f>
        <v>2405.67</v>
      </c>
      <c r="H385" s="237" t="n">
        <f aca="false">IF(G385&gt;0,IFERROR(H384+(H384*($D$16/12)),""),"")</f>
        <v>33.3472179215037</v>
      </c>
      <c r="I385" s="223" t="n">
        <f aca="false">IF(ISERROR(A386),"",12 - MONTH(B385))</f>
        <v>6</v>
      </c>
      <c r="J385" s="224" t="n">
        <f aca="false">K385</f>
        <v>1</v>
      </c>
      <c r="K385" s="225" t="n">
        <f aca="false">_xlfn.IFNA(IF(B385&gt;=$K$11, 1,0),0)</f>
        <v>1</v>
      </c>
      <c r="L385" s="60" t="str">
        <f aca="false">IF(I385=0,1,"")</f>
        <v/>
      </c>
      <c r="P385" s="4" t="n">
        <f aca="false">IF(AND(G385&gt;E385, A385&lt;&gt;0, V385&lt;&gt;0), $N$5 * ($P$22 ^ V385 - 1), 0)</f>
        <v>0</v>
      </c>
      <c r="V385" s="71" t="n">
        <f aca="false">IF(B385&lt;EDATE($K$11,12), 0,  DATEDIF(EDATE($K$11,12), B385 + 1, "y") + 1 )</f>
        <v>25</v>
      </c>
    </row>
    <row r="386" customFormat="false" ht="12.75" hidden="false" customHeight="true" outlineLevel="0" collapsed="false">
      <c r="A386" s="228" t="n">
        <f aca="false">IF(OR(G385="",G385&lt;=0,C385&gt;150),NA(),A385+1)</f>
        <v>358</v>
      </c>
      <c r="B386" s="229" t="n">
        <f aca="false">IF(ISERROR(A386),"",IF($D$9="Annually",EDATE(B385,12),EDATE(B385,1)))</f>
        <v>57189</v>
      </c>
      <c r="C386" s="230" t="n">
        <f aca="false">IF(ISERROR(A386),"",C385+IF($D$9="Monthly",1/12,1))</f>
        <v>90.8833333333319</v>
      </c>
      <c r="D386" s="231" t="n">
        <f aca="false">IF(L385&lt;&gt;1, IF(G385&lt;E385,0,D385),IF(L385=1,IFERROR(ROUND(IF($G385 - (E385 * 6) &lt; 0, D385, ($G385 - (E385 * 6)) * $D$8 / 12),2),0) ) )</f>
        <v>9.78</v>
      </c>
      <c r="E386" s="231" t="n">
        <f aca="false">IF(ISERROR(A386), 0,  MAX(0,   MIN(    ROUND(G385 + D386, 2),    ROUND(FV($S$5, IF(type=1, A386, A385), , IF(J386&lt;&gt;1, -$D$20, -$P$16 + P386), 2), 0)   )  ) )</f>
        <v>34</v>
      </c>
      <c r="F386" s="231" t="n">
        <f aca="false">IF(J386&lt;&gt;1, "", IF(J385&lt;&gt;0, F385, $K$12))</f>
        <v>1</v>
      </c>
      <c r="G386" s="232" t="n">
        <f aca="false">IF(ISERROR(A386),"",ROUND(G385-E386+D386,2))</f>
        <v>2381.45</v>
      </c>
      <c r="H386" s="237" t="n">
        <f aca="false">IF(G386&gt;0,IFERROR(H385+(H385*($D$16/12)),""),"")</f>
        <v>33.4027966180395</v>
      </c>
      <c r="I386" s="223" t="n">
        <f aca="false">IF(ISERROR(A387),"",12 - MONTH(B386))</f>
        <v>5</v>
      </c>
      <c r="J386" s="224" t="n">
        <f aca="false">K386</f>
        <v>1</v>
      </c>
      <c r="K386" s="225" t="n">
        <f aca="false">_xlfn.IFNA(IF(B386&gt;=$K$11, 1,0),0)</f>
        <v>1</v>
      </c>
      <c r="L386" s="60" t="str">
        <f aca="false">IF(I386=0,1,"")</f>
        <v/>
      </c>
      <c r="P386" s="4" t="n">
        <f aca="false">IF(AND(G386&gt;E386, A386&lt;&gt;0, V386&lt;&gt;0), $N$5 * ($P$22 ^ V386 - 1), 0)</f>
        <v>0</v>
      </c>
      <c r="V386" s="71" t="n">
        <f aca="false">IF(B386&lt;EDATE($K$11,12), 0,  DATEDIF(EDATE($K$11,12), B386 + 1, "y") + 1 )</f>
        <v>25</v>
      </c>
    </row>
    <row r="387" customFormat="false" ht="12.75" hidden="false" customHeight="true" outlineLevel="0" collapsed="false">
      <c r="A387" s="228" t="n">
        <f aca="false">IF(OR(G386="",G386&lt;=0,C386&gt;150),NA(),A386+1)</f>
        <v>359</v>
      </c>
      <c r="B387" s="229" t="n">
        <f aca="false">IF(ISERROR(A387),"",IF($D$9="Annually",EDATE(B386,12),EDATE(B386,1)))</f>
        <v>57220</v>
      </c>
      <c r="C387" s="230" t="n">
        <f aca="false">IF(ISERROR(A387),"",C386+IF($D$9="Monthly",1/12,1))</f>
        <v>90.9666666666652</v>
      </c>
      <c r="D387" s="231" t="n">
        <f aca="false">IF(L386&lt;&gt;1, IF(G386&lt;E386,0,D386),IF(L386=1,IFERROR(ROUND(IF($G386 - (E386 * 6) &lt; 0, D386, ($G386 - (E386 * 6)) * $D$8 / 12),2),0) ) )</f>
        <v>9.78</v>
      </c>
      <c r="E387" s="231" t="n">
        <f aca="false">IF(ISERROR(A387), 0,  MAX(0,   MIN(    ROUND(G386 + D387, 2),    ROUND(FV($S$5, IF(type=1, A387, A386), , IF(J387&lt;&gt;1, -$D$20, -$P$16 + P387), 2), 0)   )  ) )</f>
        <v>34</v>
      </c>
      <c r="F387" s="231" t="n">
        <f aca="false">IF(J387&lt;&gt;1, "", IF(J386&lt;&gt;0, F386, $K$12))</f>
        <v>1</v>
      </c>
      <c r="G387" s="232" t="n">
        <f aca="false">IF(ISERROR(A387),"",ROUND(G386-E387+D387,2))</f>
        <v>2357.23</v>
      </c>
      <c r="H387" s="237" t="n">
        <f aca="false">IF(G387&gt;0,IFERROR(H386+(H386*($D$16/12)),""),"")</f>
        <v>33.4584679457363</v>
      </c>
      <c r="I387" s="223" t="n">
        <f aca="false">IF(ISERROR(A388),"",12 - MONTH(B387))</f>
        <v>4</v>
      </c>
      <c r="J387" s="224" t="n">
        <f aca="false">K387</f>
        <v>1</v>
      </c>
      <c r="K387" s="225" t="n">
        <f aca="false">_xlfn.IFNA(IF(B387&gt;=$K$11, 1,0),0)</f>
        <v>1</v>
      </c>
      <c r="L387" s="60" t="str">
        <f aca="false">IF(I387=0,1,"")</f>
        <v/>
      </c>
      <c r="P387" s="4" t="n">
        <f aca="false">IF(AND(G387&gt;E387, A387&lt;&gt;0, V387&lt;&gt;0), $N$5 * ($P$22 ^ V387 - 1), 0)</f>
        <v>0</v>
      </c>
      <c r="V387" s="71" t="n">
        <f aca="false">IF(B387&lt;EDATE($K$11,12), 0,  DATEDIF(EDATE($K$11,12), B387 + 1, "y") + 1 )</f>
        <v>25</v>
      </c>
    </row>
    <row r="388" customFormat="false" ht="12.75" hidden="false" customHeight="true" outlineLevel="0" collapsed="false">
      <c r="A388" s="228" t="n">
        <f aca="false">IF(OR(G387="",G387&lt;=0,C387&gt;150),NA(),A387+1)</f>
        <v>360</v>
      </c>
      <c r="B388" s="229" t="n">
        <f aca="false">IF(ISERROR(A388),"",IF($D$9="Annually",EDATE(B387,12),EDATE(B387,1)))</f>
        <v>57251</v>
      </c>
      <c r="C388" s="230" t="n">
        <f aca="false">IF(ISERROR(A388),"",C387+IF($D$9="Monthly",1/12,1))</f>
        <v>91.0499999999986</v>
      </c>
      <c r="D388" s="231" t="n">
        <f aca="false">IF(L387&lt;&gt;1, IF(G387&lt;E387,0,D387),IF(L387=1,IFERROR(ROUND(IF($G387 - (E387 * 6) &lt; 0, D387, ($G387 - (E387 * 6)) * $D$8 / 12),2),0) ) )</f>
        <v>9.78</v>
      </c>
      <c r="E388" s="231" t="n">
        <f aca="false">IF(ISERROR(A388), 0,  MAX(0,   MIN(    ROUND(G387 + D388, 2),    ROUND(FV($S$5, IF(type=1, A388, A387), , IF(J388&lt;&gt;1, -$D$20, -$P$16 + P388), 2), 0)   )  ) )</f>
        <v>34</v>
      </c>
      <c r="F388" s="231" t="n">
        <f aca="false">IF(J388&lt;&gt;1, "", IF(J387&lt;&gt;0, F387, $K$12))</f>
        <v>1</v>
      </c>
      <c r="G388" s="232" t="n">
        <f aca="false">IF(ISERROR(A388),"",ROUND(G387-E388+D388,2))</f>
        <v>2333.01</v>
      </c>
      <c r="H388" s="237" t="n">
        <f aca="false">IF(G388&gt;0,IFERROR(H387+(H387*($D$16/12)),""),"")</f>
        <v>33.5142320589792</v>
      </c>
      <c r="I388" s="223" t="n">
        <f aca="false">IF(ISERROR(A389),"",12 - MONTH(B388))</f>
        <v>3</v>
      </c>
      <c r="J388" s="224" t="n">
        <f aca="false">K388</f>
        <v>1</v>
      </c>
      <c r="K388" s="225" t="n">
        <f aca="false">_xlfn.IFNA(IF(B388&gt;=$K$11, 1,0),0)</f>
        <v>1</v>
      </c>
      <c r="L388" s="60" t="str">
        <f aca="false">IF(I388=0,1,"")</f>
        <v/>
      </c>
      <c r="P388" s="4" t="n">
        <f aca="false">IF(AND(G388&gt;E388, A388&lt;&gt;0, V388&lt;&gt;0), $N$5 * ($P$22 ^ V388 - 1), 0)</f>
        <v>0</v>
      </c>
      <c r="V388" s="71" t="n">
        <f aca="false">IF(B388&lt;EDATE($K$11,12), 0,  DATEDIF(EDATE($K$11,12), B388 + 1, "y") + 1 )</f>
        <v>25</v>
      </c>
    </row>
    <row r="389" customFormat="false" ht="12.75" hidden="false" customHeight="true" outlineLevel="0" collapsed="false">
      <c r="A389" s="228" t="n">
        <f aca="false">IF(OR(G388="",G388&lt;=0,C388&gt;150),NA(),A388+1)</f>
        <v>361</v>
      </c>
      <c r="B389" s="229" t="n">
        <f aca="false">IF(ISERROR(A389),"",IF($D$9="Annually",EDATE(B388,12),EDATE(B388,1)))</f>
        <v>57281</v>
      </c>
      <c r="C389" s="230" t="n">
        <f aca="false">IF(ISERROR(A389),"",C388+IF($D$9="Monthly",1/12,1))</f>
        <v>91.1333333333319</v>
      </c>
      <c r="D389" s="231" t="n">
        <f aca="false">IF(L388&lt;&gt;1, IF(G388&lt;E388,0,D388),IF(L388=1,IFERROR(ROUND(IF($G388 - (E388 * 6) &lt; 0, D388, ($G388 - (E388 * 6)) * $D$8 / 12),2),0) ) )</f>
        <v>9.78</v>
      </c>
      <c r="E389" s="231" t="n">
        <f aca="false">IF(ISERROR(A389), 0,  MAX(0,   MIN(    ROUND(G388 + D389, 2),    ROUND(FV($S$5, IF(type=1, A389, A388), , IF(J389&lt;&gt;1, -$D$20, -$P$16 + P389), 2), 0)   )  ) )</f>
        <v>34</v>
      </c>
      <c r="F389" s="231" t="n">
        <f aca="false">IF(J389&lt;&gt;1, "", IF(J388&lt;&gt;0, F388, $K$12))</f>
        <v>1</v>
      </c>
      <c r="G389" s="232" t="n">
        <f aca="false">IF(ISERROR(A389),"",ROUND(G388-E389+D389,2))</f>
        <v>2308.79</v>
      </c>
      <c r="H389" s="237" t="n">
        <f aca="false">IF(G389&gt;0,IFERROR(H388+(H388*($D$16/12)),""),"")</f>
        <v>33.5700891124108</v>
      </c>
      <c r="I389" s="223" t="n">
        <f aca="false">IF(ISERROR(A390),"",12 - MONTH(B389))</f>
        <v>2</v>
      </c>
      <c r="J389" s="224" t="n">
        <f aca="false">K389</f>
        <v>1</v>
      </c>
      <c r="K389" s="225" t="n">
        <f aca="false">_xlfn.IFNA(IF(B389&gt;=$K$11, 1,0),0)</f>
        <v>1</v>
      </c>
      <c r="L389" s="60" t="str">
        <f aca="false">IF(I389=0,1,"")</f>
        <v/>
      </c>
      <c r="P389" s="4" t="n">
        <f aca="false">IF(AND(G389&gt;E389, A389&lt;&gt;0, V389&lt;&gt;0), $N$5 * ($P$22 ^ V389 - 1), 0)</f>
        <v>0</v>
      </c>
      <c r="V389" s="71" t="n">
        <f aca="false">IF(B389&lt;EDATE($K$11,12), 0,  DATEDIF(EDATE($K$11,12), B389 + 1, "y") + 1 )</f>
        <v>25</v>
      </c>
    </row>
    <row r="390" customFormat="false" ht="12.75" hidden="false" customHeight="true" outlineLevel="0" collapsed="false">
      <c r="A390" s="228" t="n">
        <f aca="false">IF(OR(G389="",G389&lt;=0,C389&gt;150),NA(),A389+1)</f>
        <v>362</v>
      </c>
      <c r="B390" s="229" t="n">
        <f aca="false">IF(ISERROR(A390),"",IF($D$9="Annually",EDATE(B389,12),EDATE(B389,1)))</f>
        <v>57312</v>
      </c>
      <c r="C390" s="230" t="n">
        <f aca="false">IF(ISERROR(A390),"",C389+IF($D$9="Monthly",1/12,1))</f>
        <v>91.2166666666652</v>
      </c>
      <c r="D390" s="231" t="n">
        <f aca="false">IF(L389&lt;&gt;1, IF(G389&lt;E389,0,D389),IF(L389=1,IFERROR(ROUND(IF($G389 - (E389 * 6) &lt; 0, D389, ($G389 - (E389 * 6)) * $D$8 / 12),2),0) ) )</f>
        <v>9.78</v>
      </c>
      <c r="E390" s="231" t="n">
        <f aca="false">IF(ISERROR(A390), 0,  MAX(0,   MIN(    ROUND(G389 + D390, 2),    ROUND(FV($S$5, IF(type=1, A390, A389), , IF(J390&lt;&gt;1, -$D$20, -$P$16 + P390), 2), 0)   )  ) )</f>
        <v>34</v>
      </c>
      <c r="F390" s="231" t="n">
        <f aca="false">IF(J390&lt;&gt;1, "", IF(J389&lt;&gt;0, F389, $K$12))</f>
        <v>1</v>
      </c>
      <c r="G390" s="232" t="n">
        <f aca="false">IF(ISERROR(A390),"",ROUND(G389-E390+D390,2))</f>
        <v>2284.57</v>
      </c>
      <c r="H390" s="237" t="n">
        <f aca="false">IF(G390&gt;0,IFERROR(H389+(H389*($D$16/12)),""),"")</f>
        <v>33.6260392609315</v>
      </c>
      <c r="I390" s="223" t="n">
        <f aca="false">IF(ISERROR(A391),"",12 - MONTH(B390))</f>
        <v>1</v>
      </c>
      <c r="J390" s="224" t="n">
        <f aca="false">K390</f>
        <v>1</v>
      </c>
      <c r="K390" s="225" t="n">
        <f aca="false">_xlfn.IFNA(IF(B390&gt;=$K$11, 1,0),0)</f>
        <v>1</v>
      </c>
      <c r="L390" s="60" t="str">
        <f aca="false">IF(I390=0,1,"")</f>
        <v/>
      </c>
      <c r="P390" s="4" t="n">
        <f aca="false">IF(AND(G390&gt;E390, A390&lt;&gt;0, V390&lt;&gt;0), $N$5 * ($P$22 ^ V390 - 1), 0)</f>
        <v>0</v>
      </c>
      <c r="V390" s="71" t="n">
        <f aca="false">IF(B390&lt;EDATE($K$11,12), 0,  DATEDIF(EDATE($K$11,12), B390 + 1, "y") + 1 )</f>
        <v>25</v>
      </c>
    </row>
    <row r="391" customFormat="false" ht="12.75" hidden="false" customHeight="true" outlineLevel="0" collapsed="false">
      <c r="A391" s="228" t="n">
        <f aca="false">IF(OR(G390="",G390&lt;=0,C390&gt;150),NA(),A390+1)</f>
        <v>363</v>
      </c>
      <c r="B391" s="229" t="n">
        <f aca="false">IF(ISERROR(A391),"",IF($D$9="Annually",EDATE(B390,12),EDATE(B390,1)))</f>
        <v>57342</v>
      </c>
      <c r="C391" s="230" t="n">
        <f aca="false">IF(ISERROR(A391),"",C390+IF($D$9="Monthly",1/12,1))</f>
        <v>91.2999999999985</v>
      </c>
      <c r="D391" s="231" t="n">
        <f aca="false">IF(L390&lt;&gt;1, IF(G390&lt;E390,0,D390),IF(L390=1,IFERROR(ROUND(IF($G390 - (E390 * 6) &lt; 0, D390, ($G390 - (E390 * 6)) * $D$8 / 12),2),0) ) )</f>
        <v>9.78</v>
      </c>
      <c r="E391" s="231" t="n">
        <f aca="false">IF(ISERROR(A391), 0,  MAX(0,   MIN(    ROUND(G390 + D391, 2),    ROUND(FV($S$5, IF(type=1, A391, A390), , IF(J391&lt;&gt;1, -$D$20, -$P$16 + P391), 2), 0)   )  ) )</f>
        <v>34</v>
      </c>
      <c r="F391" s="231" t="n">
        <f aca="false">IF(J391&lt;&gt;1, "", IF(J390&lt;&gt;0, F390, $K$12))</f>
        <v>1</v>
      </c>
      <c r="G391" s="232" t="n">
        <f aca="false">IF(ISERROR(A391),"",ROUND(G390-E391+D391,2))</f>
        <v>2260.35</v>
      </c>
      <c r="H391" s="237" t="n">
        <f aca="false">IF(G391&gt;0,IFERROR(H390+(H390*($D$16/12)),""),"")</f>
        <v>33.6820826596997</v>
      </c>
      <c r="I391" s="223" t="n">
        <f aca="false">IF(ISERROR(A392),"",12 - MONTH(B391))</f>
        <v>0</v>
      </c>
      <c r="J391" s="224" t="n">
        <f aca="false">K391</f>
        <v>1</v>
      </c>
      <c r="K391" s="225" t="n">
        <f aca="false">_xlfn.IFNA(IF(B391&gt;=$K$11, 1,0),0)</f>
        <v>1</v>
      </c>
      <c r="L391" s="60" t="n">
        <f aca="false">IF(I391=0,1,"")</f>
        <v>1</v>
      </c>
      <c r="P391" s="4" t="n">
        <f aca="false">IF(AND(G391&gt;E391, A391&lt;&gt;0, V391&lt;&gt;0), $N$5 * ($P$22 ^ V391 - 1), 0)</f>
        <v>0</v>
      </c>
      <c r="V391" s="71" t="n">
        <f aca="false">IF(B391&lt;EDATE($K$11,12), 0,  DATEDIF(EDATE($K$11,12), B391 + 1, "y") + 1 )</f>
        <v>25</v>
      </c>
    </row>
    <row r="392" customFormat="false" ht="12.75" hidden="false" customHeight="true" outlineLevel="0" collapsed="false">
      <c r="A392" s="228" t="n">
        <f aca="false">IF(OR(G391="",G391&lt;=0,C391&gt;150),NA(),A391+1)</f>
        <v>364</v>
      </c>
      <c r="B392" s="229" t="n">
        <f aca="false">IF(ISERROR(A392),"",IF($D$9="Annually",EDATE(B391,12),EDATE(B391,1)))</f>
        <v>57373</v>
      </c>
      <c r="C392" s="230" t="n">
        <f aca="false">IF(ISERROR(A392),"",C391+IF($D$9="Monthly",1/12,1))</f>
        <v>91.3833333333319</v>
      </c>
      <c r="D392" s="231" t="n">
        <f aca="false">IF(L391&lt;&gt;1, IF(G391&lt;E391,0,D391),IF(L391=1,IFERROR(ROUND(IF($G391 - (E391 * 6) &lt; 0, D391, ($G391 - (E391 * 6)) * $D$8 / 12),2),0) ) )</f>
        <v>8.57</v>
      </c>
      <c r="E392" s="231" t="n">
        <f aca="false">IF(ISERROR(A392), 0,  MAX(0,   MIN(    ROUND(G391 + D392, 2),    ROUND(FV($S$5, IF(type=1, A392, A391), , IF(J392&lt;&gt;1, -$D$20, -$P$16 + P392), 2), 0)   )  ) )</f>
        <v>34</v>
      </c>
      <c r="F392" s="231" t="n">
        <f aca="false">IF(J392&lt;&gt;1, "", IF(J391&lt;&gt;0, F391, $K$12))</f>
        <v>1</v>
      </c>
      <c r="G392" s="232" t="n">
        <f aca="false">IF(ISERROR(A392),"",ROUND(G391-E392+D392,2))</f>
        <v>2234.92</v>
      </c>
      <c r="H392" s="237" t="n">
        <f aca="false">IF(G392&gt;0,IFERROR(H391+(H391*($D$16/12)),""),"")</f>
        <v>33.7382194641325</v>
      </c>
      <c r="I392" s="223" t="n">
        <f aca="false">IF(ISERROR(A393),"",12 - MONTH(B392))</f>
        <v>11</v>
      </c>
      <c r="J392" s="224" t="n">
        <f aca="false">K392</f>
        <v>1</v>
      </c>
      <c r="K392" s="225" t="n">
        <f aca="false">_xlfn.IFNA(IF(B392&gt;=$K$11, 1,0),0)</f>
        <v>1</v>
      </c>
      <c r="L392" s="60" t="str">
        <f aca="false">IF(I392=0,1,"")</f>
        <v/>
      </c>
      <c r="P392" s="4" t="n">
        <f aca="false">IF(AND(G392&gt;E392, A392&lt;&gt;0, V392&lt;&gt;0), $N$5 * ($P$22 ^ V392 - 1), 0)</f>
        <v>0</v>
      </c>
      <c r="V392" s="71" t="n">
        <f aca="false">IF(B392&lt;EDATE($K$11,12), 0,  DATEDIF(EDATE($K$11,12), B392 + 1, "y") + 1 )</f>
        <v>26</v>
      </c>
    </row>
    <row r="393" customFormat="false" ht="12.75" hidden="false" customHeight="true" outlineLevel="0" collapsed="false">
      <c r="A393" s="228" t="n">
        <f aca="false">IF(OR(G392="",G392&lt;=0,C392&gt;150),NA(),A392+1)</f>
        <v>365</v>
      </c>
      <c r="B393" s="229" t="n">
        <f aca="false">IF(ISERROR(A393),"",IF($D$9="Annually",EDATE(B392,12),EDATE(B392,1)))</f>
        <v>57404</v>
      </c>
      <c r="C393" s="230" t="n">
        <f aca="false">IF(ISERROR(A393),"",C392+IF($D$9="Monthly",1/12,1))</f>
        <v>91.4666666666652</v>
      </c>
      <c r="D393" s="231" t="n">
        <f aca="false">IF(L392&lt;&gt;1, IF(G392&lt;E392,0,D392),IF(L392=1,IFERROR(ROUND(IF($G392 - (E392 * 6) &lt; 0, D392, ($G392 - (E392 * 6)) * $D$8 / 12),2),0) ) )</f>
        <v>8.57</v>
      </c>
      <c r="E393" s="231" t="n">
        <f aca="false">IF(ISERROR(A393), 0,  MAX(0,   MIN(    ROUND(G392 + D393, 2),    ROUND(FV($S$5, IF(type=1, A393, A392), , IF(J393&lt;&gt;1, -$D$20, -$P$16 + P393), 2), 0)   )  ) )</f>
        <v>34</v>
      </c>
      <c r="F393" s="231" t="n">
        <f aca="false">IF(J393&lt;&gt;1, "", IF(J392&lt;&gt;0, F392, $K$12))</f>
        <v>1</v>
      </c>
      <c r="G393" s="232" t="n">
        <f aca="false">IF(ISERROR(A393),"",ROUND(G392-E393+D393,2))</f>
        <v>2209.49</v>
      </c>
      <c r="H393" s="237" t="n">
        <f aca="false">IF(G393&gt;0,IFERROR(H392+(H392*($D$16/12)),""),"")</f>
        <v>33.7944498299061</v>
      </c>
      <c r="I393" s="223" t="n">
        <f aca="false">IF(ISERROR(A394),"",12 - MONTH(B393))</f>
        <v>10</v>
      </c>
      <c r="J393" s="224" t="n">
        <f aca="false">K393</f>
        <v>1</v>
      </c>
      <c r="K393" s="225" t="n">
        <f aca="false">_xlfn.IFNA(IF(B393&gt;=$K$11, 1,0),0)</f>
        <v>1</v>
      </c>
      <c r="L393" s="60" t="str">
        <f aca="false">IF(I393=0,1,"")</f>
        <v/>
      </c>
      <c r="P393" s="4" t="n">
        <f aca="false">IF(AND(G393&gt;E393, A393&lt;&gt;0, V393&lt;&gt;0), $N$5 * ($P$22 ^ V393 - 1), 0)</f>
        <v>0</v>
      </c>
      <c r="V393" s="71" t="n">
        <f aca="false">IF(B393&lt;EDATE($K$11,12), 0,  DATEDIF(EDATE($K$11,12), B393 + 1, "y") + 1 )</f>
        <v>26</v>
      </c>
    </row>
    <row r="394" customFormat="false" ht="12.75" hidden="false" customHeight="true" outlineLevel="0" collapsed="false">
      <c r="A394" s="228" t="n">
        <f aca="false">IF(OR(G393="",G393&lt;=0,C393&gt;150),NA(),A393+1)</f>
        <v>366</v>
      </c>
      <c r="B394" s="229" t="n">
        <f aca="false">IF(ISERROR(A394),"",IF($D$9="Annually",EDATE(B393,12),EDATE(B393,1)))</f>
        <v>57432</v>
      </c>
      <c r="C394" s="230" t="n">
        <f aca="false">IF(ISERROR(A394),"",C393+IF($D$9="Monthly",1/12,1))</f>
        <v>91.5499999999985</v>
      </c>
      <c r="D394" s="231" t="n">
        <f aca="false">IF(L393&lt;&gt;1, IF(G393&lt;E393,0,D393),IF(L393=1,IFERROR(ROUND(IF($G393 - (E393 * 6) &lt; 0, D393, ($G393 - (E393 * 6)) * $D$8 / 12),2),0) ) )</f>
        <v>8.57</v>
      </c>
      <c r="E394" s="231" t="n">
        <f aca="false">IF(ISERROR(A394), 0,  MAX(0,   MIN(    ROUND(G393 + D394, 2),    ROUND(FV($S$5, IF(type=1, A394, A393), , IF(J394&lt;&gt;1, -$D$20, -$P$16 + P394), 2), 0)   )  ) )</f>
        <v>34</v>
      </c>
      <c r="F394" s="231" t="n">
        <f aca="false">IF(J394&lt;&gt;1, "", IF(J393&lt;&gt;0, F393, $K$12))</f>
        <v>1</v>
      </c>
      <c r="G394" s="232" t="n">
        <f aca="false">IF(ISERROR(A394),"",ROUND(G393-E394+D394,2))</f>
        <v>2184.06</v>
      </c>
      <c r="H394" s="237" t="n">
        <f aca="false">IF(G394&gt;0,IFERROR(H393+(H393*($D$16/12)),""),"")</f>
        <v>33.8507739129559</v>
      </c>
      <c r="I394" s="223" t="n">
        <f aca="false">IF(ISERROR(A395),"",12 - MONTH(B394))</f>
        <v>9</v>
      </c>
      <c r="J394" s="224" t="n">
        <f aca="false">K394</f>
        <v>1</v>
      </c>
      <c r="K394" s="225" t="n">
        <f aca="false">_xlfn.IFNA(IF(B394&gt;=$K$11, 1,0),0)</f>
        <v>1</v>
      </c>
      <c r="L394" s="60" t="str">
        <f aca="false">IF(I394=0,1,"")</f>
        <v/>
      </c>
      <c r="P394" s="4" t="n">
        <f aca="false">IF(AND(G394&gt;E394, A394&lt;&gt;0, V394&lt;&gt;0), $N$5 * ($P$22 ^ V394 - 1), 0)</f>
        <v>0</v>
      </c>
      <c r="V394" s="71" t="n">
        <f aca="false">IF(B394&lt;EDATE($K$11,12), 0,  DATEDIF(EDATE($K$11,12), B394 + 1, "y") + 1 )</f>
        <v>26</v>
      </c>
    </row>
    <row r="395" customFormat="false" ht="12.75" hidden="false" customHeight="true" outlineLevel="0" collapsed="false">
      <c r="A395" s="228" t="n">
        <f aca="false">IF(OR(G394="",G394&lt;=0,C394&gt;150),NA(),A394+1)</f>
        <v>367</v>
      </c>
      <c r="B395" s="229" t="n">
        <f aca="false">IF(ISERROR(A395),"",IF($D$9="Annually",EDATE(B394,12),EDATE(B394,1)))</f>
        <v>57463</v>
      </c>
      <c r="C395" s="230" t="n">
        <f aca="false">IF(ISERROR(A395),"",C394+IF($D$9="Monthly",1/12,1))</f>
        <v>91.6333333333319</v>
      </c>
      <c r="D395" s="231" t="n">
        <f aca="false">IF(L394&lt;&gt;1, IF(G394&lt;E394,0,D394),IF(L394=1,IFERROR(ROUND(IF($G394 - (E394 * 6) &lt; 0, D394, ($G394 - (E394 * 6)) * $D$8 / 12),2),0) ) )</f>
        <v>8.57</v>
      </c>
      <c r="E395" s="231" t="n">
        <f aca="false">IF(ISERROR(A395), 0,  MAX(0,   MIN(    ROUND(G394 + D395, 2),    ROUND(FV($S$5, IF(type=1, A395, A394), , IF(J395&lt;&gt;1, -$D$20, -$P$16 + P395), 2), 0)   )  ) )</f>
        <v>35</v>
      </c>
      <c r="F395" s="231" t="n">
        <f aca="false">IF(J395&lt;&gt;1, "", IF(J394&lt;&gt;0, F394, $K$12))</f>
        <v>1</v>
      </c>
      <c r="G395" s="232" t="n">
        <f aca="false">IF(ISERROR(A395),"",ROUND(G394-E395+D395,2))</f>
        <v>2157.63</v>
      </c>
      <c r="H395" s="237" t="n">
        <f aca="false">IF(G395&gt;0,IFERROR(H394+(H394*($D$16/12)),""),"")</f>
        <v>33.9071918694775</v>
      </c>
      <c r="I395" s="223" t="n">
        <f aca="false">IF(ISERROR(A396),"",12 - MONTH(B395))</f>
        <v>8</v>
      </c>
      <c r="J395" s="224" t="n">
        <f aca="false">K395</f>
        <v>1</v>
      </c>
      <c r="K395" s="225" t="n">
        <f aca="false">_xlfn.IFNA(IF(B395&gt;=$K$11, 1,0),0)</f>
        <v>1</v>
      </c>
      <c r="L395" s="60" t="str">
        <f aca="false">IF(I395=0,1,"")</f>
        <v/>
      </c>
      <c r="P395" s="4" t="n">
        <f aca="false">IF(AND(G395&gt;E395, A395&lt;&gt;0, V395&lt;&gt;0), $N$5 * ($P$22 ^ V395 - 1), 0)</f>
        <v>0</v>
      </c>
      <c r="V395" s="71" t="n">
        <f aca="false">IF(B395&lt;EDATE($K$11,12), 0,  DATEDIF(EDATE($K$11,12), B395 + 1, "y") + 1 )</f>
        <v>26</v>
      </c>
    </row>
    <row r="396" customFormat="false" ht="12.75" hidden="false" customHeight="true" outlineLevel="0" collapsed="false">
      <c r="A396" s="228" t="n">
        <f aca="false">IF(OR(G395="",G395&lt;=0,C395&gt;150),NA(),A395+1)</f>
        <v>368</v>
      </c>
      <c r="B396" s="229" t="n">
        <f aca="false">IF(ISERROR(A396),"",IF($D$9="Annually",EDATE(B395,12),EDATE(B395,1)))</f>
        <v>57493</v>
      </c>
      <c r="C396" s="230" t="n">
        <f aca="false">IF(ISERROR(A396),"",C395+IF($D$9="Monthly",1/12,1))</f>
        <v>91.7166666666652</v>
      </c>
      <c r="D396" s="231" t="n">
        <f aca="false">IF(L395&lt;&gt;1, IF(G395&lt;E395,0,D395),IF(L395=1,IFERROR(ROUND(IF($G395 - (E395 * 6) &lt; 0, D395, ($G395 - (E395 * 6)) * $D$8 / 12),2),0) ) )</f>
        <v>8.57</v>
      </c>
      <c r="E396" s="231" t="n">
        <f aca="false">IF(ISERROR(A396), 0,  MAX(0,   MIN(    ROUND(G395 + D396, 2),    ROUND(FV($S$5, IF(type=1, A396, A395), , IF(J396&lt;&gt;1, -$D$20, -$P$16 + P396), 2), 0)   )  ) )</f>
        <v>35</v>
      </c>
      <c r="F396" s="231" t="n">
        <f aca="false">IF(J396&lt;&gt;1, "", IF(J395&lt;&gt;0, F395, $K$12))</f>
        <v>1</v>
      </c>
      <c r="G396" s="232" t="n">
        <f aca="false">IF(ISERROR(A396),"",ROUND(G395-E396+D396,2))</f>
        <v>2131.2</v>
      </c>
      <c r="H396" s="237" t="n">
        <f aca="false">IF(G396&gt;0,IFERROR(H395+(H395*($D$16/12)),""),"")</f>
        <v>33.9637038559267</v>
      </c>
      <c r="I396" s="223" t="n">
        <f aca="false">IF(ISERROR(A397),"",12 - MONTH(B396))</f>
        <v>7</v>
      </c>
      <c r="J396" s="224" t="n">
        <f aca="false">K396</f>
        <v>1</v>
      </c>
      <c r="K396" s="225" t="n">
        <f aca="false">_xlfn.IFNA(IF(B396&gt;=$K$11, 1,0),0)</f>
        <v>1</v>
      </c>
      <c r="L396" s="60" t="str">
        <f aca="false">IF(I396=0,1,"")</f>
        <v/>
      </c>
      <c r="P396" s="4" t="n">
        <f aca="false">IF(AND(G396&gt;E396, A396&lt;&gt;0, V396&lt;&gt;0), $N$5 * ($P$22 ^ V396 - 1), 0)</f>
        <v>0</v>
      </c>
      <c r="V396" s="71" t="n">
        <f aca="false">IF(B396&lt;EDATE($K$11,12), 0,  DATEDIF(EDATE($K$11,12), B396 + 1, "y") + 1 )</f>
        <v>26</v>
      </c>
    </row>
    <row r="397" customFormat="false" ht="12.75" hidden="false" customHeight="true" outlineLevel="0" collapsed="false">
      <c r="A397" s="228" t="n">
        <f aca="false">IF(OR(G396="",G396&lt;=0,C396&gt;150),NA(),A396+1)</f>
        <v>369</v>
      </c>
      <c r="B397" s="229" t="n">
        <f aca="false">IF(ISERROR(A397),"",IF($D$9="Annually",EDATE(B396,12),EDATE(B396,1)))</f>
        <v>57524</v>
      </c>
      <c r="C397" s="230" t="n">
        <f aca="false">IF(ISERROR(A397),"",C396+IF($D$9="Monthly",1/12,1))</f>
        <v>91.7999999999985</v>
      </c>
      <c r="D397" s="231" t="n">
        <f aca="false">IF(L396&lt;&gt;1, IF(G396&lt;E396,0,D396),IF(L396=1,IFERROR(ROUND(IF($G396 - (E396 * 6) &lt; 0, D396, ($G396 - (E396 * 6)) * $D$8 / 12),2),0) ) )</f>
        <v>8.57</v>
      </c>
      <c r="E397" s="231" t="n">
        <f aca="false">IF(ISERROR(A397), 0,  MAX(0,   MIN(    ROUND(G396 + D397, 2),    ROUND(FV($S$5, IF(type=1, A397, A396), , IF(J397&lt;&gt;1, -$D$20, -$P$16 + P397), 2), 0)   )  ) )</f>
        <v>35</v>
      </c>
      <c r="F397" s="231" t="n">
        <f aca="false">IF(J397&lt;&gt;1, "", IF(J396&lt;&gt;0, F396, $K$12))</f>
        <v>1</v>
      </c>
      <c r="G397" s="232" t="n">
        <f aca="false">IF(ISERROR(A397),"",ROUND(G396-E397+D397,2))</f>
        <v>2104.77</v>
      </c>
      <c r="H397" s="237" t="n">
        <f aca="false">IF(G397&gt;0,IFERROR(H396+(H396*($D$16/12)),""),"")</f>
        <v>34.0203100290199</v>
      </c>
      <c r="I397" s="223" t="n">
        <f aca="false">IF(ISERROR(A398),"",12 - MONTH(B397))</f>
        <v>6</v>
      </c>
      <c r="J397" s="224" t="n">
        <f aca="false">K397</f>
        <v>1</v>
      </c>
      <c r="K397" s="225" t="n">
        <f aca="false">_xlfn.IFNA(IF(B397&gt;=$K$11, 1,0),0)</f>
        <v>1</v>
      </c>
      <c r="L397" s="60" t="str">
        <f aca="false">IF(I397=0,1,"")</f>
        <v/>
      </c>
      <c r="P397" s="4" t="n">
        <f aca="false">IF(AND(G397&gt;E397, A397&lt;&gt;0, V397&lt;&gt;0), $N$5 * ($P$22 ^ V397 - 1), 0)</f>
        <v>0</v>
      </c>
      <c r="V397" s="71" t="n">
        <f aca="false">IF(B397&lt;EDATE($K$11,12), 0,  DATEDIF(EDATE($K$11,12), B397 + 1, "y") + 1 )</f>
        <v>26</v>
      </c>
    </row>
    <row r="398" customFormat="false" ht="12.75" hidden="false" customHeight="true" outlineLevel="0" collapsed="false">
      <c r="A398" s="228" t="n">
        <f aca="false">IF(OR(G397="",G397&lt;=0,C397&gt;150),NA(),A397+1)</f>
        <v>370</v>
      </c>
      <c r="B398" s="229" t="n">
        <f aca="false">IF(ISERROR(A398),"",IF($D$9="Annually",EDATE(B397,12),EDATE(B397,1)))</f>
        <v>57554</v>
      </c>
      <c r="C398" s="230" t="n">
        <f aca="false">IF(ISERROR(A398),"",C397+IF($D$9="Monthly",1/12,1))</f>
        <v>91.8833333333318</v>
      </c>
      <c r="D398" s="231" t="n">
        <f aca="false">IF(L397&lt;&gt;1, IF(G397&lt;E397,0,D397),IF(L397=1,IFERROR(ROUND(IF($G397 - (E397 * 6) &lt; 0, D397, ($G397 - (E397 * 6)) * $D$8 / 12),2),0) ) )</f>
        <v>8.57</v>
      </c>
      <c r="E398" s="231" t="n">
        <f aca="false">IF(ISERROR(A398), 0,  MAX(0,   MIN(    ROUND(G397 + D398, 2),    ROUND(FV($S$5, IF(type=1, A398, A397), , IF(J398&lt;&gt;1, -$D$20, -$P$16 + P398), 2), 0)   )  ) )</f>
        <v>35</v>
      </c>
      <c r="F398" s="231" t="n">
        <f aca="false">IF(J398&lt;&gt;1, "", IF(J397&lt;&gt;0, F397, $K$12))</f>
        <v>1</v>
      </c>
      <c r="G398" s="232" t="n">
        <f aca="false">IF(ISERROR(A398),"",ROUND(G397-E398+D398,2))</f>
        <v>2078.34</v>
      </c>
      <c r="H398" s="237" t="n">
        <f aca="false">IF(G398&gt;0,IFERROR(H397+(H397*($D$16/12)),""),"")</f>
        <v>34.0770105457349</v>
      </c>
      <c r="I398" s="223" t="n">
        <f aca="false">IF(ISERROR(A399),"",12 - MONTH(B398))</f>
        <v>5</v>
      </c>
      <c r="J398" s="224" t="n">
        <f aca="false">K398</f>
        <v>1</v>
      </c>
      <c r="K398" s="225" t="n">
        <f aca="false">_xlfn.IFNA(IF(B398&gt;=$K$11, 1,0),0)</f>
        <v>1</v>
      </c>
      <c r="L398" s="60" t="str">
        <f aca="false">IF(I398=0,1,"")</f>
        <v/>
      </c>
      <c r="P398" s="4" t="n">
        <f aca="false">IF(AND(G398&gt;E398, A398&lt;&gt;0, V398&lt;&gt;0), $N$5 * ($P$22 ^ V398 - 1), 0)</f>
        <v>0</v>
      </c>
      <c r="V398" s="71" t="n">
        <f aca="false">IF(B398&lt;EDATE($K$11,12), 0,  DATEDIF(EDATE($K$11,12), B398 + 1, "y") + 1 )</f>
        <v>26</v>
      </c>
    </row>
    <row r="399" customFormat="false" ht="12.75" hidden="false" customHeight="true" outlineLevel="0" collapsed="false">
      <c r="A399" s="228" t="n">
        <f aca="false">IF(OR(G398="",G398&lt;=0,C398&gt;150),NA(),A398+1)</f>
        <v>371</v>
      </c>
      <c r="B399" s="229" t="n">
        <f aca="false">IF(ISERROR(A399),"",IF($D$9="Annually",EDATE(B398,12),EDATE(B398,1)))</f>
        <v>57585</v>
      </c>
      <c r="C399" s="230" t="n">
        <f aca="false">IF(ISERROR(A399),"",C398+IF($D$9="Monthly",1/12,1))</f>
        <v>91.9666666666652</v>
      </c>
      <c r="D399" s="231" t="n">
        <f aca="false">IF(L398&lt;&gt;1, IF(G398&lt;E398,0,D398),IF(L398=1,IFERROR(ROUND(IF($G398 - (E398 * 6) &lt; 0, D398, ($G398 - (E398 * 6)) * $D$8 / 12),2),0) ) )</f>
        <v>8.57</v>
      </c>
      <c r="E399" s="231" t="n">
        <f aca="false">IF(ISERROR(A399), 0,  MAX(0,   MIN(    ROUND(G398 + D399, 2),    ROUND(FV($S$5, IF(type=1, A399, A398), , IF(J399&lt;&gt;1, -$D$20, -$P$16 + P399), 2), 0)   )  ) )</f>
        <v>35</v>
      </c>
      <c r="F399" s="231" t="n">
        <f aca="false">IF(J399&lt;&gt;1, "", IF(J398&lt;&gt;0, F398, $K$12))</f>
        <v>1</v>
      </c>
      <c r="G399" s="232" t="n">
        <f aca="false">IF(ISERROR(A399),"",ROUND(G398-E399+D399,2))</f>
        <v>2051.91</v>
      </c>
      <c r="H399" s="237" t="n">
        <f aca="false">IF(G399&gt;0,IFERROR(H398+(H398*($D$16/12)),""),"")</f>
        <v>34.1338055633111</v>
      </c>
      <c r="I399" s="223" t="n">
        <f aca="false">IF(ISERROR(A400),"",12 - MONTH(B399))</f>
        <v>4</v>
      </c>
      <c r="J399" s="224" t="n">
        <f aca="false">K399</f>
        <v>1</v>
      </c>
      <c r="K399" s="225" t="n">
        <f aca="false">_xlfn.IFNA(IF(B399&gt;=$K$11, 1,0),0)</f>
        <v>1</v>
      </c>
      <c r="L399" s="60" t="str">
        <f aca="false">IF(I399=0,1,"")</f>
        <v/>
      </c>
      <c r="P399" s="4" t="n">
        <f aca="false">IF(AND(G399&gt;E399, A399&lt;&gt;0, V399&lt;&gt;0), $N$5 * ($P$22 ^ V399 - 1), 0)</f>
        <v>0</v>
      </c>
      <c r="V399" s="71" t="n">
        <f aca="false">IF(B399&lt;EDATE($K$11,12), 0,  DATEDIF(EDATE($K$11,12), B399 + 1, "y") + 1 )</f>
        <v>26</v>
      </c>
    </row>
    <row r="400" customFormat="false" ht="12.75" hidden="false" customHeight="true" outlineLevel="0" collapsed="false">
      <c r="A400" s="228" t="n">
        <f aca="false">IF(OR(G399="",G399&lt;=0,C399&gt;150),NA(),A399+1)</f>
        <v>372</v>
      </c>
      <c r="B400" s="229" t="n">
        <f aca="false">IF(ISERROR(A400),"",IF($D$9="Annually",EDATE(B399,12),EDATE(B399,1)))</f>
        <v>57616</v>
      </c>
      <c r="C400" s="230" t="n">
        <f aca="false">IF(ISERROR(A400),"",C399+IF($D$9="Monthly",1/12,1))</f>
        <v>92.0499999999985</v>
      </c>
      <c r="D400" s="231" t="n">
        <f aca="false">IF(L399&lt;&gt;1, IF(G399&lt;E399,0,D399),IF(L399=1,IFERROR(ROUND(IF($G399 - (E399 * 6) &lt; 0, D399, ($G399 - (E399 * 6)) * $D$8 / 12),2),0) ) )</f>
        <v>8.57</v>
      </c>
      <c r="E400" s="231" t="n">
        <f aca="false">IF(ISERROR(A400), 0,  MAX(0,   MIN(    ROUND(G399 + D400, 2),    ROUND(FV($S$5, IF(type=1, A400, A399), , IF(J400&lt;&gt;1, -$D$20, -$P$16 + P400), 2), 0)   )  ) )</f>
        <v>35</v>
      </c>
      <c r="F400" s="231" t="n">
        <f aca="false">IF(J400&lt;&gt;1, "", IF(J399&lt;&gt;0, F399, $K$12))</f>
        <v>1</v>
      </c>
      <c r="G400" s="232" t="n">
        <f aca="false">IF(ISERROR(A400),"",ROUND(G399-E400+D400,2))</f>
        <v>2025.48</v>
      </c>
      <c r="H400" s="237" t="n">
        <f aca="false">IF(G400&gt;0,IFERROR(H399+(H399*($D$16/12)),""),"")</f>
        <v>34.19069523925</v>
      </c>
      <c r="I400" s="223" t="n">
        <f aca="false">IF(ISERROR(A401),"",12 - MONTH(B400))</f>
        <v>3</v>
      </c>
      <c r="J400" s="224" t="n">
        <f aca="false">K400</f>
        <v>1</v>
      </c>
      <c r="K400" s="225" t="n">
        <f aca="false">_xlfn.IFNA(IF(B400&gt;=$K$11, 1,0),0)</f>
        <v>1</v>
      </c>
      <c r="L400" s="60" t="str">
        <f aca="false">IF(I400=0,1,"")</f>
        <v/>
      </c>
      <c r="P400" s="4" t="n">
        <f aca="false">IF(AND(G400&gt;E400, A400&lt;&gt;0, V400&lt;&gt;0), $N$5 * ($P$22 ^ V400 - 1), 0)</f>
        <v>0</v>
      </c>
      <c r="V400" s="71" t="n">
        <f aca="false">IF(B400&lt;EDATE($K$11,12), 0,  DATEDIF(EDATE($K$11,12), B400 + 1, "y") + 1 )</f>
        <v>26</v>
      </c>
    </row>
    <row r="401" customFormat="false" ht="12.75" hidden="false" customHeight="true" outlineLevel="0" collapsed="false">
      <c r="A401" s="228" t="n">
        <f aca="false">IF(OR(G400="",G400&lt;=0,C400&gt;150),NA(),A400+1)</f>
        <v>373</v>
      </c>
      <c r="B401" s="229" t="n">
        <f aca="false">IF(ISERROR(A401),"",IF($D$9="Annually",EDATE(B400,12),EDATE(B400,1)))</f>
        <v>57646</v>
      </c>
      <c r="C401" s="230" t="n">
        <f aca="false">IF(ISERROR(A401),"",C400+IF($D$9="Monthly",1/12,1))</f>
        <v>92.1333333333318</v>
      </c>
      <c r="D401" s="231" t="n">
        <f aca="false">IF(L400&lt;&gt;1, IF(G400&lt;E400,0,D400),IF(L400=1,IFERROR(ROUND(IF($G400 - (E400 * 6) &lt; 0, D400, ($G400 - (E400 * 6)) * $D$8 / 12),2),0) ) )</f>
        <v>8.57</v>
      </c>
      <c r="E401" s="231" t="n">
        <f aca="false">IF(ISERROR(A401), 0,  MAX(0,   MIN(    ROUND(G400 + D401, 2),    ROUND(FV($S$5, IF(type=1, A401, A400), , IF(J401&lt;&gt;1, -$D$20, -$P$16 + P401), 2), 0)   )  ) )</f>
        <v>35</v>
      </c>
      <c r="F401" s="231" t="n">
        <f aca="false">IF(J401&lt;&gt;1, "", IF(J400&lt;&gt;0, F400, $K$12))</f>
        <v>1</v>
      </c>
      <c r="G401" s="232" t="n">
        <f aca="false">IF(ISERROR(A401),"",ROUND(G400-E401+D401,2))</f>
        <v>1999.05</v>
      </c>
      <c r="H401" s="237" t="n">
        <f aca="false">IF(G401&gt;0,IFERROR(H400+(H400*($D$16/12)),""),"")</f>
        <v>34.2476797313154</v>
      </c>
      <c r="I401" s="223" t="n">
        <f aca="false">IF(ISERROR(A402),"",12 - MONTH(B401))</f>
        <v>2</v>
      </c>
      <c r="J401" s="224" t="n">
        <f aca="false">K401</f>
        <v>1</v>
      </c>
      <c r="K401" s="225" t="n">
        <f aca="false">_xlfn.IFNA(IF(B401&gt;=$K$11, 1,0),0)</f>
        <v>1</v>
      </c>
      <c r="L401" s="60" t="str">
        <f aca="false">IF(I401=0,1,"")</f>
        <v/>
      </c>
      <c r="P401" s="4" t="n">
        <f aca="false">IF(AND(G401&gt;E401, A401&lt;&gt;0, V401&lt;&gt;0), $N$5 * ($P$22 ^ V401 - 1), 0)</f>
        <v>0</v>
      </c>
      <c r="V401" s="71" t="n">
        <f aca="false">IF(B401&lt;EDATE($K$11,12), 0,  DATEDIF(EDATE($K$11,12), B401 + 1, "y") + 1 )</f>
        <v>26</v>
      </c>
    </row>
    <row r="402" customFormat="false" ht="12.75" hidden="false" customHeight="true" outlineLevel="0" collapsed="false">
      <c r="A402" s="228" t="n">
        <f aca="false">IF(OR(G401="",G401&lt;=0,C401&gt;150),NA(),A401+1)</f>
        <v>374</v>
      </c>
      <c r="B402" s="229" t="n">
        <f aca="false">IF(ISERROR(A402),"",IF($D$9="Annually",EDATE(B401,12),EDATE(B401,1)))</f>
        <v>57677</v>
      </c>
      <c r="C402" s="230" t="n">
        <f aca="false">IF(ISERROR(A402),"",C401+IF($D$9="Monthly",1/12,1))</f>
        <v>92.2166666666652</v>
      </c>
      <c r="D402" s="231" t="n">
        <f aca="false">IF(L401&lt;&gt;1, IF(G401&lt;E401,0,D401),IF(L401=1,IFERROR(ROUND(IF($G401 - (E401 * 6) &lt; 0, D401, ($G401 - (E401 * 6)) * $D$8 / 12),2),0) ) )</f>
        <v>8.57</v>
      </c>
      <c r="E402" s="231" t="n">
        <f aca="false">IF(ISERROR(A402), 0,  MAX(0,   MIN(    ROUND(G401 + D402, 2),    ROUND(FV($S$5, IF(type=1, A402, A401), , IF(J402&lt;&gt;1, -$D$20, -$P$16 + P402), 2), 0)   )  ) )</f>
        <v>35</v>
      </c>
      <c r="F402" s="231" t="n">
        <f aca="false">IF(J402&lt;&gt;1, "", IF(J401&lt;&gt;0, F401, $K$12))</f>
        <v>1</v>
      </c>
      <c r="G402" s="232" t="n">
        <f aca="false">IF(ISERROR(A402),"",ROUND(G401-E402+D402,2))</f>
        <v>1972.62</v>
      </c>
      <c r="H402" s="237" t="n">
        <f aca="false">IF(G402&gt;0,IFERROR(H401+(H401*($D$16/12)),""),"")</f>
        <v>34.3047591975343</v>
      </c>
      <c r="I402" s="223" t="n">
        <f aca="false">IF(ISERROR(A403),"",12 - MONTH(B402))</f>
        <v>1</v>
      </c>
      <c r="J402" s="224" t="n">
        <f aca="false">K402</f>
        <v>1</v>
      </c>
      <c r="K402" s="225" t="n">
        <f aca="false">_xlfn.IFNA(IF(B402&gt;=$K$11, 1,0),0)</f>
        <v>1</v>
      </c>
      <c r="L402" s="60" t="str">
        <f aca="false">IF(I402=0,1,"")</f>
        <v/>
      </c>
      <c r="P402" s="4" t="n">
        <f aca="false">IF(AND(G402&gt;E402, A402&lt;&gt;0, V402&lt;&gt;0), $N$5 * ($P$22 ^ V402 - 1), 0)</f>
        <v>0</v>
      </c>
      <c r="V402" s="71" t="n">
        <f aca="false">IF(B402&lt;EDATE($K$11,12), 0,  DATEDIF(EDATE($K$11,12), B402 + 1, "y") + 1 )</f>
        <v>26</v>
      </c>
    </row>
    <row r="403" customFormat="false" ht="12.75" hidden="false" customHeight="true" outlineLevel="0" collapsed="false">
      <c r="A403" s="228" t="n">
        <f aca="false">IF(OR(G402="",G402&lt;=0,C402&gt;150),NA(),A402+1)</f>
        <v>375</v>
      </c>
      <c r="B403" s="229" t="n">
        <f aca="false">IF(ISERROR(A403),"",IF($D$9="Annually",EDATE(B402,12),EDATE(B402,1)))</f>
        <v>57707</v>
      </c>
      <c r="C403" s="230" t="n">
        <f aca="false">IF(ISERROR(A403),"",C402+IF($D$9="Monthly",1/12,1))</f>
        <v>92.2999999999985</v>
      </c>
      <c r="D403" s="231" t="n">
        <f aca="false">IF(L402&lt;&gt;1, IF(G402&lt;E402,0,D402),IF(L402=1,IFERROR(ROUND(IF($G402 - (E402 * 6) &lt; 0, D402, ($G402 - (E402 * 6)) * $D$8 / 12),2),0) ) )</f>
        <v>8.57</v>
      </c>
      <c r="E403" s="231" t="n">
        <f aca="false">IF(ISERROR(A403), 0,  MAX(0,   MIN(    ROUND(G402 + D403, 2),    ROUND(FV($S$5, IF(type=1, A403, A402), , IF(J403&lt;&gt;1, -$D$20, -$P$16 + P403), 2), 0)   )  ) )</f>
        <v>35</v>
      </c>
      <c r="F403" s="231" t="n">
        <f aca="false">IF(J403&lt;&gt;1, "", IF(J402&lt;&gt;0, F402, $K$12))</f>
        <v>1</v>
      </c>
      <c r="G403" s="232" t="n">
        <f aca="false">IF(ISERROR(A403),"",ROUND(G402-E403+D403,2))</f>
        <v>1946.19</v>
      </c>
      <c r="H403" s="237" t="n">
        <f aca="false">IF(G403&gt;0,IFERROR(H402+(H402*($D$16/12)),""),"")</f>
        <v>34.3619337961968</v>
      </c>
      <c r="I403" s="223" t="n">
        <f aca="false">IF(ISERROR(A404),"",12 - MONTH(B403))</f>
        <v>0</v>
      </c>
      <c r="J403" s="224" t="n">
        <f aca="false">K403</f>
        <v>1</v>
      </c>
      <c r="K403" s="225" t="n">
        <f aca="false">_xlfn.IFNA(IF(B403&gt;=$K$11, 1,0),0)</f>
        <v>1</v>
      </c>
      <c r="L403" s="60" t="n">
        <f aca="false">IF(I403=0,1,"")</f>
        <v>1</v>
      </c>
      <c r="P403" s="4" t="n">
        <f aca="false">IF(AND(G403&gt;E403, A403&lt;&gt;0, V403&lt;&gt;0), $N$5 * ($P$22 ^ V403 - 1), 0)</f>
        <v>0</v>
      </c>
      <c r="V403" s="71" t="n">
        <f aca="false">IF(B403&lt;EDATE($K$11,12), 0,  DATEDIF(EDATE($K$11,12), B403 + 1, "y") + 1 )</f>
        <v>26</v>
      </c>
    </row>
    <row r="404" customFormat="false" ht="12.75" hidden="false" customHeight="true" outlineLevel="0" collapsed="false">
      <c r="A404" s="228" t="n">
        <f aca="false">IF(OR(G403="",G403&lt;=0,C403&gt;150),NA(),A403+1)</f>
        <v>376</v>
      </c>
      <c r="B404" s="229" t="n">
        <f aca="false">IF(ISERROR(A404),"",IF($D$9="Annually",EDATE(B403,12),EDATE(B403,1)))</f>
        <v>57738</v>
      </c>
      <c r="C404" s="230" t="n">
        <f aca="false">IF(ISERROR(A404),"",C403+IF($D$9="Monthly",1/12,1))</f>
        <v>92.3833333333318</v>
      </c>
      <c r="D404" s="231" t="n">
        <f aca="false">IF(L403&lt;&gt;1, IF(G403&lt;E403,0,D403),IF(L403=1,IFERROR(ROUND(IF($G403 - (E403 * 6) &lt; 0, D403, ($G403 - (E403 * 6)) * $D$8 / 12),2),0) ) )</f>
        <v>7.23</v>
      </c>
      <c r="E404" s="231" t="n">
        <f aca="false">IF(ISERROR(A404), 0,  MAX(0,   MIN(    ROUND(G403 + D404, 2),    ROUND(FV($S$5, IF(type=1, A404, A403), , IF(J404&lt;&gt;1, -$D$20, -$P$16 + P404), 2), 0)   )  ) )</f>
        <v>35</v>
      </c>
      <c r="F404" s="231" t="n">
        <f aca="false">IF(J404&lt;&gt;1, "", IF(J403&lt;&gt;0, F403, $K$12))</f>
        <v>1</v>
      </c>
      <c r="G404" s="232" t="n">
        <f aca="false">IF(ISERROR(A404),"",ROUND(G403-E404+D404,2))</f>
        <v>1918.42</v>
      </c>
      <c r="H404" s="237" t="n">
        <f aca="false">IF(G404&gt;0,IFERROR(H403+(H403*($D$16/12)),""),"")</f>
        <v>34.4192036858571</v>
      </c>
      <c r="I404" s="223" t="n">
        <f aca="false">IF(ISERROR(A405),"",12 - MONTH(B404))</f>
        <v>11</v>
      </c>
      <c r="J404" s="224" t="n">
        <f aca="false">K404</f>
        <v>1</v>
      </c>
      <c r="K404" s="225" t="n">
        <f aca="false">_xlfn.IFNA(IF(B404&gt;=$K$11, 1,0),0)</f>
        <v>1</v>
      </c>
      <c r="L404" s="60" t="str">
        <f aca="false">IF(I404=0,1,"")</f>
        <v/>
      </c>
      <c r="P404" s="4" t="n">
        <f aca="false">IF(AND(G404&gt;E404, A404&lt;&gt;0, V404&lt;&gt;0), $N$5 * ($P$22 ^ V404 - 1), 0)</f>
        <v>0</v>
      </c>
      <c r="V404" s="71" t="n">
        <f aca="false">IF(B404&lt;EDATE($K$11,12), 0,  DATEDIF(EDATE($K$11,12), B404 + 1, "y") + 1 )</f>
        <v>27</v>
      </c>
    </row>
    <row r="405" customFormat="false" ht="12.75" hidden="false" customHeight="true" outlineLevel="0" collapsed="false">
      <c r="A405" s="228" t="n">
        <f aca="false">IF(OR(G404="",G404&lt;=0,C404&gt;150),NA(),A404+1)</f>
        <v>377</v>
      </c>
      <c r="B405" s="229" t="n">
        <f aca="false">IF(ISERROR(A405),"",IF($D$9="Annually",EDATE(B404,12),EDATE(B404,1)))</f>
        <v>57769</v>
      </c>
      <c r="C405" s="230" t="n">
        <f aca="false">IF(ISERROR(A405),"",C404+IF($D$9="Monthly",1/12,1))</f>
        <v>92.4666666666651</v>
      </c>
      <c r="D405" s="231" t="n">
        <f aca="false">IF(L404&lt;&gt;1, IF(G404&lt;E404,0,D404),IF(L404=1,IFERROR(ROUND(IF($G404 - (E404 * 6) &lt; 0, D404, ($G404 - (E404 * 6)) * $D$8 / 12),2),0) ) )</f>
        <v>7.23</v>
      </c>
      <c r="E405" s="231" t="n">
        <f aca="false">IF(ISERROR(A405), 0,  MAX(0,   MIN(    ROUND(G404 + D405, 2),    ROUND(FV($S$5, IF(type=1, A405, A404), , IF(J405&lt;&gt;1, -$D$20, -$P$16 + P405), 2), 0)   )  ) )</f>
        <v>35</v>
      </c>
      <c r="F405" s="231" t="n">
        <f aca="false">IF(J405&lt;&gt;1, "", IF(J404&lt;&gt;0, F404, $K$12))</f>
        <v>1</v>
      </c>
      <c r="G405" s="232" t="n">
        <f aca="false">IF(ISERROR(A405),"",ROUND(G404-E405+D405,2))</f>
        <v>1890.65</v>
      </c>
      <c r="H405" s="237" t="n">
        <f aca="false">IF(G405&gt;0,IFERROR(H404+(H404*($D$16/12)),""),"")</f>
        <v>34.4765690253336</v>
      </c>
      <c r="I405" s="223" t="n">
        <f aca="false">IF(ISERROR(A406),"",12 - MONTH(B405))</f>
        <v>10</v>
      </c>
      <c r="J405" s="224" t="n">
        <f aca="false">K405</f>
        <v>1</v>
      </c>
      <c r="K405" s="225" t="n">
        <f aca="false">_xlfn.IFNA(IF(B405&gt;=$K$11, 1,0),0)</f>
        <v>1</v>
      </c>
      <c r="L405" s="60" t="str">
        <f aca="false">IF(I405=0,1,"")</f>
        <v/>
      </c>
      <c r="P405" s="4" t="n">
        <f aca="false">IF(AND(G405&gt;E405, A405&lt;&gt;0, V405&lt;&gt;0), $N$5 * ($P$22 ^ V405 - 1), 0)</f>
        <v>0</v>
      </c>
      <c r="V405" s="71" t="n">
        <f aca="false">IF(B405&lt;EDATE($K$11,12), 0,  DATEDIF(EDATE($K$11,12), B405 + 1, "y") + 1 )</f>
        <v>27</v>
      </c>
    </row>
    <row r="406" customFormat="false" ht="12.75" hidden="false" customHeight="true" outlineLevel="0" collapsed="false">
      <c r="A406" s="228" t="n">
        <f aca="false">IF(OR(G405="",G405&lt;=0,C405&gt;150),NA(),A405+1)</f>
        <v>378</v>
      </c>
      <c r="B406" s="229" t="n">
        <f aca="false">IF(ISERROR(A406),"",IF($D$9="Annually",EDATE(B405,12),EDATE(B405,1)))</f>
        <v>57797</v>
      </c>
      <c r="C406" s="230" t="n">
        <f aca="false">IF(ISERROR(A406),"",C405+IF($D$9="Monthly",1/12,1))</f>
        <v>92.5499999999985</v>
      </c>
      <c r="D406" s="231" t="n">
        <f aca="false">IF(L405&lt;&gt;1, IF(G405&lt;E405,0,D405),IF(L405=1,IFERROR(ROUND(IF($G405 - (E405 * 6) &lt; 0, D405, ($G405 - (E405 * 6)) * $D$8 / 12),2),0) ) )</f>
        <v>7.23</v>
      </c>
      <c r="E406" s="231" t="n">
        <f aca="false">IF(ISERROR(A406), 0,  MAX(0,   MIN(    ROUND(G405 + D406, 2),    ROUND(FV($S$5, IF(type=1, A406, A405), , IF(J406&lt;&gt;1, -$D$20, -$P$16 + P406), 2), 0)   )  ) )</f>
        <v>35</v>
      </c>
      <c r="F406" s="231" t="n">
        <f aca="false">IF(J406&lt;&gt;1, "", IF(J405&lt;&gt;0, F405, $K$12))</f>
        <v>1</v>
      </c>
      <c r="G406" s="232" t="n">
        <f aca="false">IF(ISERROR(A406),"",ROUND(G405-E406+D406,2))</f>
        <v>1862.88</v>
      </c>
      <c r="H406" s="237" t="n">
        <f aca="false">IF(G406&gt;0,IFERROR(H405+(H405*($D$16/12)),""),"")</f>
        <v>34.5340299737091</v>
      </c>
      <c r="I406" s="223" t="n">
        <f aca="false">IF(ISERROR(A407),"",12 - MONTH(B406))</f>
        <v>9</v>
      </c>
      <c r="J406" s="224" t="n">
        <f aca="false">K406</f>
        <v>1</v>
      </c>
      <c r="K406" s="225" t="n">
        <f aca="false">_xlfn.IFNA(IF(B406&gt;=$K$11, 1,0),0)</f>
        <v>1</v>
      </c>
      <c r="L406" s="60" t="str">
        <f aca="false">IF(I406=0,1,"")</f>
        <v/>
      </c>
      <c r="P406" s="4" t="n">
        <f aca="false">IF(AND(G406&gt;E406, A406&lt;&gt;0, V406&lt;&gt;0), $N$5 * ($P$22 ^ V406 - 1), 0)</f>
        <v>0</v>
      </c>
      <c r="V406" s="71" t="n">
        <f aca="false">IF(B406&lt;EDATE($K$11,12), 0,  DATEDIF(EDATE($K$11,12), B406 + 1, "y") + 1 )</f>
        <v>27</v>
      </c>
    </row>
    <row r="407" customFormat="false" ht="12.75" hidden="false" customHeight="true" outlineLevel="0" collapsed="false">
      <c r="A407" s="228" t="n">
        <f aca="false">IF(OR(G406="",G406&lt;=0,C406&gt;150),NA(),A406+1)</f>
        <v>379</v>
      </c>
      <c r="B407" s="229" t="n">
        <f aca="false">IF(ISERROR(A407),"",IF($D$9="Annually",EDATE(B406,12),EDATE(B406,1)))</f>
        <v>57828</v>
      </c>
      <c r="C407" s="230" t="n">
        <f aca="false">IF(ISERROR(A407),"",C406+IF($D$9="Monthly",1/12,1))</f>
        <v>92.6333333333318</v>
      </c>
      <c r="D407" s="231" t="n">
        <f aca="false">IF(L406&lt;&gt;1, IF(G406&lt;E406,0,D406),IF(L406=1,IFERROR(ROUND(IF($G406 - (E406 * 6) &lt; 0, D406, ($G406 - (E406 * 6)) * $D$8 / 12),2),0) ) )</f>
        <v>7.23</v>
      </c>
      <c r="E407" s="231" t="n">
        <f aca="false">IF(ISERROR(A407), 0,  MAX(0,   MIN(    ROUND(G406 + D407, 2),    ROUND(FV($S$5, IF(type=1, A407, A406), , IF(J407&lt;&gt;1, -$D$20, -$P$16 + P407), 2), 0)   )  ) )</f>
        <v>35</v>
      </c>
      <c r="F407" s="231" t="n">
        <f aca="false">IF(J407&lt;&gt;1, "", IF(J406&lt;&gt;0, F406, $K$12))</f>
        <v>1</v>
      </c>
      <c r="G407" s="232" t="n">
        <f aca="false">IF(ISERROR(A407),"",ROUND(G406-E407+D407,2))</f>
        <v>1835.11</v>
      </c>
      <c r="H407" s="237" t="n">
        <f aca="false">IF(G407&gt;0,IFERROR(H406+(H406*($D$16/12)),""),"")</f>
        <v>34.591586690332</v>
      </c>
      <c r="I407" s="223" t="n">
        <f aca="false">IF(ISERROR(A408),"",12 - MONTH(B407))</f>
        <v>8</v>
      </c>
      <c r="J407" s="224" t="n">
        <f aca="false">K407</f>
        <v>1</v>
      </c>
      <c r="K407" s="225" t="n">
        <f aca="false">_xlfn.IFNA(IF(B407&gt;=$K$11, 1,0),0)</f>
        <v>1</v>
      </c>
      <c r="L407" s="60" t="str">
        <f aca="false">IF(I407=0,1,"")</f>
        <v/>
      </c>
      <c r="P407" s="4" t="n">
        <f aca="false">IF(AND(G407&gt;E407, A407&lt;&gt;0, V407&lt;&gt;0), $N$5 * ($P$22 ^ V407 - 1), 0)</f>
        <v>0</v>
      </c>
      <c r="V407" s="71" t="n">
        <f aca="false">IF(B407&lt;EDATE($K$11,12), 0,  DATEDIF(EDATE($K$11,12), B407 + 1, "y") + 1 )</f>
        <v>27</v>
      </c>
    </row>
    <row r="408" customFormat="false" ht="12.75" hidden="false" customHeight="true" outlineLevel="0" collapsed="false">
      <c r="A408" s="228" t="n">
        <f aca="false">IF(OR(G407="",G407&lt;=0,C407&gt;150),NA(),A407+1)</f>
        <v>380</v>
      </c>
      <c r="B408" s="229" t="n">
        <f aca="false">IF(ISERROR(A408),"",IF($D$9="Annually",EDATE(B407,12),EDATE(B407,1)))</f>
        <v>57858</v>
      </c>
      <c r="C408" s="230" t="n">
        <f aca="false">IF(ISERROR(A408),"",C407+IF($D$9="Monthly",1/12,1))</f>
        <v>92.7166666666651</v>
      </c>
      <c r="D408" s="231" t="n">
        <f aca="false">IF(L407&lt;&gt;1, IF(G407&lt;E407,0,D407),IF(L407=1,IFERROR(ROUND(IF($G407 - (E407 * 6) &lt; 0, D407, ($G407 - (E407 * 6)) * $D$8 / 12),2),0) ) )</f>
        <v>7.23</v>
      </c>
      <c r="E408" s="231" t="n">
        <f aca="false">IF(ISERROR(A408), 0,  MAX(0,   MIN(    ROUND(G407 + D408, 2),    ROUND(FV($S$5, IF(type=1, A408, A407), , IF(J408&lt;&gt;1, -$D$20, -$P$16 + P408), 2), 0)   )  ) )</f>
        <v>35</v>
      </c>
      <c r="F408" s="231" t="n">
        <f aca="false">IF(J408&lt;&gt;1, "", IF(J407&lt;&gt;0, F407, $K$12))</f>
        <v>1</v>
      </c>
      <c r="G408" s="232" t="n">
        <f aca="false">IF(ISERROR(A408),"",ROUND(G407-E408+D408,2))</f>
        <v>1807.34</v>
      </c>
      <c r="H408" s="237" t="n">
        <f aca="false">IF(G408&gt;0,IFERROR(H407+(H407*($D$16/12)),""),"")</f>
        <v>34.6492393348159</v>
      </c>
      <c r="I408" s="223" t="n">
        <f aca="false">IF(ISERROR(A409),"",12 - MONTH(B408))</f>
        <v>7</v>
      </c>
      <c r="J408" s="224" t="n">
        <f aca="false">K408</f>
        <v>1</v>
      </c>
      <c r="K408" s="225" t="n">
        <f aca="false">_xlfn.IFNA(IF(B408&gt;=$K$11, 1,0),0)</f>
        <v>1</v>
      </c>
      <c r="L408" s="60" t="str">
        <f aca="false">IF(I408=0,1,"")</f>
        <v/>
      </c>
      <c r="P408" s="4" t="n">
        <f aca="false">IF(AND(G408&gt;E408, A408&lt;&gt;0, V408&lt;&gt;0), $N$5 * ($P$22 ^ V408 - 1), 0)</f>
        <v>0</v>
      </c>
      <c r="V408" s="71" t="n">
        <f aca="false">IF(B408&lt;EDATE($K$11,12), 0,  DATEDIF(EDATE($K$11,12), B408 + 1, "y") + 1 )</f>
        <v>27</v>
      </c>
    </row>
    <row r="409" customFormat="false" ht="12.75" hidden="false" customHeight="true" outlineLevel="0" collapsed="false">
      <c r="A409" s="228" t="n">
        <f aca="false">IF(OR(G408="",G408&lt;=0,C408&gt;150),NA(),A408+1)</f>
        <v>381</v>
      </c>
      <c r="B409" s="229" t="n">
        <f aca="false">IF(ISERROR(A409),"",IF($D$9="Annually",EDATE(B408,12),EDATE(B408,1)))</f>
        <v>57889</v>
      </c>
      <c r="C409" s="230" t="n">
        <f aca="false">IF(ISERROR(A409),"",C408+IF($D$9="Monthly",1/12,1))</f>
        <v>92.7999999999985</v>
      </c>
      <c r="D409" s="231" t="n">
        <f aca="false">IF(L408&lt;&gt;1, IF(G408&lt;E408,0,D408),IF(L408=1,IFERROR(ROUND(IF($G408 - (E408 * 6) &lt; 0, D408, ($G408 - (E408 * 6)) * $D$8 / 12),2),0) ) )</f>
        <v>7.23</v>
      </c>
      <c r="E409" s="231" t="n">
        <f aca="false">IF(ISERROR(A409), 0,  MAX(0,   MIN(    ROUND(G408 + D409, 2),    ROUND(FV($S$5, IF(type=1, A409, A408), , IF(J409&lt;&gt;1, -$D$20, -$P$16 + P409), 2), 0)   )  ) )</f>
        <v>35</v>
      </c>
      <c r="F409" s="231" t="n">
        <f aca="false">IF(J409&lt;&gt;1, "", IF(J408&lt;&gt;0, F408, $K$12))</f>
        <v>1</v>
      </c>
      <c r="G409" s="232" t="n">
        <f aca="false">IF(ISERROR(A409),"",ROUND(G408-E409+D409,2))</f>
        <v>1779.57</v>
      </c>
      <c r="H409" s="237" t="n">
        <f aca="false">IF(G409&gt;0,IFERROR(H408+(H408*($D$16/12)),""),"")</f>
        <v>34.7069880670406</v>
      </c>
      <c r="I409" s="223" t="n">
        <f aca="false">IF(ISERROR(A410),"",12 - MONTH(B409))</f>
        <v>6</v>
      </c>
      <c r="J409" s="224" t="n">
        <f aca="false">K409</f>
        <v>1</v>
      </c>
      <c r="K409" s="225" t="n">
        <f aca="false">_xlfn.IFNA(IF(B409&gt;=$K$11, 1,0),0)</f>
        <v>1</v>
      </c>
      <c r="L409" s="60" t="str">
        <f aca="false">IF(I409=0,1,"")</f>
        <v/>
      </c>
      <c r="P409" s="4" t="n">
        <f aca="false">IF(AND(G409&gt;E409, A409&lt;&gt;0, V409&lt;&gt;0), $N$5 * ($P$22 ^ V409 - 1), 0)</f>
        <v>0</v>
      </c>
      <c r="V409" s="71" t="n">
        <f aca="false">IF(B409&lt;EDATE($K$11,12), 0,  DATEDIF(EDATE($K$11,12), B409 + 1, "y") + 1 )</f>
        <v>27</v>
      </c>
    </row>
    <row r="410" customFormat="false" ht="12.75" hidden="false" customHeight="true" outlineLevel="0" collapsed="false">
      <c r="A410" s="228" t="n">
        <f aca="false">IF(OR(G409="",G409&lt;=0,C409&gt;150),NA(),A409+1)</f>
        <v>382</v>
      </c>
      <c r="B410" s="229" t="n">
        <f aca="false">IF(ISERROR(A410),"",IF($D$9="Annually",EDATE(B409,12),EDATE(B409,1)))</f>
        <v>57919</v>
      </c>
      <c r="C410" s="230" t="n">
        <f aca="false">IF(ISERROR(A410),"",C409+IF($D$9="Monthly",1/12,1))</f>
        <v>92.8833333333318</v>
      </c>
      <c r="D410" s="231" t="n">
        <f aca="false">IF(L409&lt;&gt;1, IF(G409&lt;E409,0,D409),IF(L409=1,IFERROR(ROUND(IF($G409 - (E409 * 6) &lt; 0, D409, ($G409 - (E409 * 6)) * $D$8 / 12),2),0) ) )</f>
        <v>7.23</v>
      </c>
      <c r="E410" s="231" t="n">
        <f aca="false">IF(ISERROR(A410), 0,  MAX(0,   MIN(    ROUND(G409 + D410, 2),    ROUND(FV($S$5, IF(type=1, A410, A409), , IF(J410&lt;&gt;1, -$D$20, -$P$16 + P410), 2), 0)   )  ) )</f>
        <v>35</v>
      </c>
      <c r="F410" s="231" t="n">
        <f aca="false">IF(J410&lt;&gt;1, "", IF(J409&lt;&gt;0, F409, $K$12))</f>
        <v>1</v>
      </c>
      <c r="G410" s="232" t="n">
        <f aca="false">IF(ISERROR(A410),"",ROUND(G409-E410+D410,2))</f>
        <v>1751.8</v>
      </c>
      <c r="H410" s="237" t="n">
        <f aca="false">IF(G410&gt;0,IFERROR(H409+(H409*($D$16/12)),""),"")</f>
        <v>34.7648330471523</v>
      </c>
      <c r="I410" s="223" t="n">
        <f aca="false">IF(ISERROR(A411),"",12 - MONTH(B410))</f>
        <v>5</v>
      </c>
      <c r="J410" s="224" t="n">
        <f aca="false">K410</f>
        <v>1</v>
      </c>
      <c r="K410" s="225" t="n">
        <f aca="false">_xlfn.IFNA(IF(B410&gt;=$K$11, 1,0),0)</f>
        <v>1</v>
      </c>
      <c r="L410" s="60" t="str">
        <f aca="false">IF(I410=0,1,"")</f>
        <v/>
      </c>
      <c r="P410" s="4" t="n">
        <f aca="false">IF(AND(G410&gt;E410, A410&lt;&gt;0, V410&lt;&gt;0), $N$5 * ($P$22 ^ V410 - 1), 0)</f>
        <v>0</v>
      </c>
      <c r="V410" s="71" t="n">
        <f aca="false">IF(B410&lt;EDATE($K$11,12), 0,  DATEDIF(EDATE($K$11,12), B410 + 1, "y") + 1 )</f>
        <v>27</v>
      </c>
    </row>
    <row r="411" customFormat="false" ht="12.75" hidden="false" customHeight="true" outlineLevel="0" collapsed="false">
      <c r="A411" s="228" t="n">
        <f aca="false">IF(OR(G410="",G410&lt;=0,C410&gt;150),NA(),A410+1)</f>
        <v>383</v>
      </c>
      <c r="B411" s="229" t="n">
        <f aca="false">IF(ISERROR(A411),"",IF($D$9="Annually",EDATE(B410,12),EDATE(B410,1)))</f>
        <v>57950</v>
      </c>
      <c r="C411" s="230" t="n">
        <f aca="false">IF(ISERROR(A411),"",C410+IF($D$9="Monthly",1/12,1))</f>
        <v>92.9666666666651</v>
      </c>
      <c r="D411" s="231" t="n">
        <f aca="false">IF(L410&lt;&gt;1, IF(G410&lt;E410,0,D410),IF(L410=1,IFERROR(ROUND(IF($G410 - (E410 * 6) &lt; 0, D410, ($G410 - (E410 * 6)) * $D$8 / 12),2),0) ) )</f>
        <v>7.23</v>
      </c>
      <c r="E411" s="231" t="n">
        <f aca="false">IF(ISERROR(A411), 0,  MAX(0,   MIN(    ROUND(G410 + D411, 2),    ROUND(FV($S$5, IF(type=1, A411, A410), , IF(J411&lt;&gt;1, -$D$20, -$P$16 + P411), 2), 0)   )  ) )</f>
        <v>35</v>
      </c>
      <c r="F411" s="231" t="n">
        <f aca="false">IF(J411&lt;&gt;1, "", IF(J410&lt;&gt;0, F410, $K$12))</f>
        <v>1</v>
      </c>
      <c r="G411" s="232" t="n">
        <f aca="false">IF(ISERROR(A411),"",ROUND(G410-E411+D411,2))</f>
        <v>1724.03</v>
      </c>
      <c r="H411" s="237" t="n">
        <f aca="false">IF(G411&gt;0,IFERROR(H410+(H410*($D$16/12)),""),"")</f>
        <v>34.8227744355642</v>
      </c>
      <c r="I411" s="223" t="n">
        <f aca="false">IF(ISERROR(A412),"",12 - MONTH(B411))</f>
        <v>4</v>
      </c>
      <c r="J411" s="224" t="n">
        <f aca="false">K411</f>
        <v>1</v>
      </c>
      <c r="K411" s="225" t="n">
        <f aca="false">_xlfn.IFNA(IF(B411&gt;=$K$11, 1,0),0)</f>
        <v>1</v>
      </c>
      <c r="L411" s="60" t="str">
        <f aca="false">IF(I411=0,1,"")</f>
        <v/>
      </c>
      <c r="P411" s="4" t="n">
        <f aca="false">IF(AND(G411&gt;E411, A411&lt;&gt;0, V411&lt;&gt;0), $N$5 * ($P$22 ^ V411 - 1), 0)</f>
        <v>0</v>
      </c>
      <c r="V411" s="71" t="n">
        <f aca="false">IF(B411&lt;EDATE($K$11,12), 0,  DATEDIF(EDATE($K$11,12), B411 + 1, "y") + 1 )</f>
        <v>27</v>
      </c>
    </row>
    <row r="412" customFormat="false" ht="12.75" hidden="false" customHeight="true" outlineLevel="0" collapsed="false">
      <c r="A412" s="228" t="n">
        <f aca="false">IF(OR(G411="",G411&lt;=0,C411&gt;150),NA(),A411+1)</f>
        <v>384</v>
      </c>
      <c r="B412" s="229" t="n">
        <f aca="false">IF(ISERROR(A412),"",IF($D$9="Annually",EDATE(B411,12),EDATE(B411,1)))</f>
        <v>57981</v>
      </c>
      <c r="C412" s="230" t="n">
        <f aca="false">IF(ISERROR(A412),"",C411+IF($D$9="Monthly",1/12,1))</f>
        <v>93.0499999999984</v>
      </c>
      <c r="D412" s="231" t="n">
        <f aca="false">IF(L411&lt;&gt;1, IF(G411&lt;E411,0,D411),IF(L411=1,IFERROR(ROUND(IF($G411 - (E411 * 6) &lt; 0, D411, ($G411 - (E411 * 6)) * $D$8 / 12),2),0) ) )</f>
        <v>7.23</v>
      </c>
      <c r="E412" s="231" t="n">
        <f aca="false">IF(ISERROR(A412), 0,  MAX(0,   MIN(    ROUND(G411 + D412, 2),    ROUND(FV($S$5, IF(type=1, A412, A411), , IF(J412&lt;&gt;1, -$D$20, -$P$16 + P412), 2), 0)   )  ) )</f>
        <v>36</v>
      </c>
      <c r="F412" s="231" t="n">
        <f aca="false">IF(J412&lt;&gt;1, "", IF(J411&lt;&gt;0, F411, $K$12))</f>
        <v>1</v>
      </c>
      <c r="G412" s="232" t="n">
        <f aca="false">IF(ISERROR(A412),"",ROUND(G411-E412+D412,2))</f>
        <v>1695.26</v>
      </c>
      <c r="H412" s="237" t="n">
        <f aca="false">IF(G412&gt;0,IFERROR(H411+(H411*($D$16/12)),""),"")</f>
        <v>34.8808123929568</v>
      </c>
      <c r="I412" s="223" t="n">
        <f aca="false">IF(ISERROR(A413),"",12 - MONTH(B412))</f>
        <v>3</v>
      </c>
      <c r="J412" s="224" t="n">
        <f aca="false">K412</f>
        <v>1</v>
      </c>
      <c r="K412" s="225" t="n">
        <f aca="false">_xlfn.IFNA(IF(B412&gt;=$K$11, 1,0),0)</f>
        <v>1</v>
      </c>
      <c r="L412" s="60" t="str">
        <f aca="false">IF(I412=0,1,"")</f>
        <v/>
      </c>
      <c r="P412" s="4" t="n">
        <f aca="false">IF(AND(G412&gt;E412, A412&lt;&gt;0, V412&lt;&gt;0), $N$5 * ($P$22 ^ V412 - 1), 0)</f>
        <v>0</v>
      </c>
      <c r="V412" s="71" t="n">
        <f aca="false">IF(B412&lt;EDATE($K$11,12), 0,  DATEDIF(EDATE($K$11,12), B412 + 1, "y") + 1 )</f>
        <v>27</v>
      </c>
    </row>
    <row r="413" customFormat="false" ht="12.75" hidden="false" customHeight="true" outlineLevel="0" collapsed="false">
      <c r="A413" s="228" t="n">
        <f aca="false">IF(OR(G412="",G412&lt;=0,C412&gt;150),NA(),A412+1)</f>
        <v>385</v>
      </c>
      <c r="B413" s="229" t="n">
        <f aca="false">IF(ISERROR(A413),"",IF($D$9="Annually",EDATE(B412,12),EDATE(B412,1)))</f>
        <v>58011</v>
      </c>
      <c r="C413" s="230" t="n">
        <f aca="false">IF(ISERROR(A413),"",C412+IF($D$9="Monthly",1/12,1))</f>
        <v>93.1333333333318</v>
      </c>
      <c r="D413" s="231" t="n">
        <f aca="false">IF(L412&lt;&gt;1, IF(G412&lt;E412,0,D412),IF(L412=1,IFERROR(ROUND(IF($G412 - (E412 * 6) &lt; 0, D412, ($G412 - (E412 * 6)) * $D$8 / 12),2),0) ) )</f>
        <v>7.23</v>
      </c>
      <c r="E413" s="231" t="n">
        <f aca="false">IF(ISERROR(A413), 0,  MAX(0,   MIN(    ROUND(G412 + D413, 2),    ROUND(FV($S$5, IF(type=1, A413, A412), , IF(J413&lt;&gt;1, -$D$20, -$P$16 + P413), 2), 0)   )  ) )</f>
        <v>36</v>
      </c>
      <c r="F413" s="231" t="n">
        <f aca="false">IF(J413&lt;&gt;1, "", IF(J412&lt;&gt;0, F412, $K$12))</f>
        <v>1</v>
      </c>
      <c r="G413" s="232" t="n">
        <f aca="false">IF(ISERROR(A413),"",ROUND(G412-E413+D413,2))</f>
        <v>1666.49</v>
      </c>
      <c r="H413" s="237" t="n">
        <f aca="false">IF(G413&gt;0,IFERROR(H412+(H412*($D$16/12)),""),"")</f>
        <v>34.9389470802784</v>
      </c>
      <c r="I413" s="223" t="n">
        <f aca="false">IF(ISERROR(A414),"",12 - MONTH(B413))</f>
        <v>2</v>
      </c>
      <c r="J413" s="224" t="n">
        <f aca="false">K413</f>
        <v>1</v>
      </c>
      <c r="K413" s="225" t="n">
        <f aca="false">_xlfn.IFNA(IF(B413&gt;=$K$11, 1,0),0)</f>
        <v>1</v>
      </c>
      <c r="L413" s="60" t="str">
        <f aca="false">IF(I413=0,1,"")</f>
        <v/>
      </c>
      <c r="P413" s="4" t="n">
        <f aca="false">IF(AND(G413&gt;E413, A413&lt;&gt;0, V413&lt;&gt;0), $N$5 * ($P$22 ^ V413 - 1), 0)</f>
        <v>0</v>
      </c>
      <c r="V413" s="71" t="n">
        <f aca="false">IF(B413&lt;EDATE($K$11,12), 0,  DATEDIF(EDATE($K$11,12), B413 + 1, "y") + 1 )</f>
        <v>27</v>
      </c>
    </row>
    <row r="414" customFormat="false" ht="12.75" hidden="false" customHeight="true" outlineLevel="0" collapsed="false">
      <c r="A414" s="228" t="n">
        <f aca="false">IF(OR(G413="",G413&lt;=0,C413&gt;150),NA(),A413+1)</f>
        <v>386</v>
      </c>
      <c r="B414" s="229" t="n">
        <f aca="false">IF(ISERROR(A414),"",IF($D$9="Annually",EDATE(B413,12),EDATE(B413,1)))</f>
        <v>58042</v>
      </c>
      <c r="C414" s="230" t="n">
        <f aca="false">IF(ISERROR(A414),"",C413+IF($D$9="Monthly",1/12,1))</f>
        <v>93.2166666666651</v>
      </c>
      <c r="D414" s="231" t="n">
        <f aca="false">IF(L413&lt;&gt;1, IF(G413&lt;E413,0,D413),IF(L413=1,IFERROR(ROUND(IF($G413 - (E413 * 6) &lt; 0, D413, ($G413 - (E413 * 6)) * $D$8 / 12),2),0) ) )</f>
        <v>7.23</v>
      </c>
      <c r="E414" s="231" t="n">
        <f aca="false">IF(ISERROR(A414), 0,  MAX(0,   MIN(    ROUND(G413 + D414, 2),    ROUND(FV($S$5, IF(type=1, A414, A413), , IF(J414&lt;&gt;1, -$D$20, -$P$16 + P414), 2), 0)   )  ) )</f>
        <v>36</v>
      </c>
      <c r="F414" s="231" t="n">
        <f aca="false">IF(J414&lt;&gt;1, "", IF(J413&lt;&gt;0, F413, $K$12))</f>
        <v>1</v>
      </c>
      <c r="G414" s="232" t="n">
        <f aca="false">IF(ISERROR(A414),"",ROUND(G413-E414+D414,2))</f>
        <v>1637.72</v>
      </c>
      <c r="H414" s="237" t="n">
        <f aca="false">IF(G414&gt;0,IFERROR(H413+(H413*($D$16/12)),""),"")</f>
        <v>34.9971786587455</v>
      </c>
      <c r="I414" s="223" t="n">
        <f aca="false">IF(ISERROR(A415),"",12 - MONTH(B414))</f>
        <v>1</v>
      </c>
      <c r="J414" s="224" t="n">
        <f aca="false">K414</f>
        <v>1</v>
      </c>
      <c r="K414" s="225" t="n">
        <f aca="false">_xlfn.IFNA(IF(B414&gt;=$K$11, 1,0),0)</f>
        <v>1</v>
      </c>
      <c r="L414" s="60" t="str">
        <f aca="false">IF(I414=0,1,"")</f>
        <v/>
      </c>
      <c r="P414" s="4" t="n">
        <f aca="false">IF(AND(G414&gt;E414, A414&lt;&gt;0, V414&lt;&gt;0), $N$5 * ($P$22 ^ V414 - 1), 0)</f>
        <v>0</v>
      </c>
      <c r="V414" s="71" t="n">
        <f aca="false">IF(B414&lt;EDATE($K$11,12), 0,  DATEDIF(EDATE($K$11,12), B414 + 1, "y") + 1 )</f>
        <v>27</v>
      </c>
    </row>
    <row r="415" customFormat="false" ht="12.75" hidden="false" customHeight="true" outlineLevel="0" collapsed="false">
      <c r="A415" s="228" t="n">
        <f aca="false">IF(OR(G414="",G414&lt;=0,C414&gt;150),NA(),A414+1)</f>
        <v>387</v>
      </c>
      <c r="B415" s="229" t="n">
        <f aca="false">IF(ISERROR(A415),"",IF($D$9="Annually",EDATE(B414,12),EDATE(B414,1)))</f>
        <v>58072</v>
      </c>
      <c r="C415" s="230" t="n">
        <f aca="false">IF(ISERROR(A415),"",C414+IF($D$9="Monthly",1/12,1))</f>
        <v>93.2999999999984</v>
      </c>
      <c r="D415" s="231" t="n">
        <f aca="false">IF(L414&lt;&gt;1, IF(G414&lt;E414,0,D414),IF(L414=1,IFERROR(ROUND(IF($G414 - (E414 * 6) &lt; 0, D414, ($G414 - (E414 * 6)) * $D$8 / 12),2),0) ) )</f>
        <v>7.23</v>
      </c>
      <c r="E415" s="231" t="n">
        <f aca="false">IF(ISERROR(A415), 0,  MAX(0,   MIN(    ROUND(G414 + D415, 2),    ROUND(FV($S$5, IF(type=1, A415, A414), , IF(J415&lt;&gt;1, -$D$20, -$P$16 + P415), 2), 0)   )  ) )</f>
        <v>36</v>
      </c>
      <c r="F415" s="231" t="n">
        <f aca="false">IF(J415&lt;&gt;1, "", IF(J414&lt;&gt;0, F414, $K$12))</f>
        <v>1</v>
      </c>
      <c r="G415" s="232" t="n">
        <f aca="false">IF(ISERROR(A415),"",ROUND(G414-E415+D415,2))</f>
        <v>1608.95</v>
      </c>
      <c r="H415" s="237" t="n">
        <f aca="false">IF(G415&gt;0,IFERROR(H414+(H414*($D$16/12)),""),"")</f>
        <v>35.0555072898434</v>
      </c>
      <c r="I415" s="223" t="n">
        <f aca="false">IF(ISERROR(A416),"",12 - MONTH(B415))</f>
        <v>0</v>
      </c>
      <c r="J415" s="224" t="n">
        <f aca="false">K415</f>
        <v>1</v>
      </c>
      <c r="K415" s="225" t="n">
        <f aca="false">_xlfn.IFNA(IF(B415&gt;=$K$11, 1,0),0)</f>
        <v>1</v>
      </c>
      <c r="L415" s="60" t="n">
        <f aca="false">IF(I415=0,1,"")</f>
        <v>1</v>
      </c>
      <c r="P415" s="4" t="n">
        <f aca="false">IF(AND(G415&gt;E415, A415&lt;&gt;0, V415&lt;&gt;0), $N$5 * ($P$22 ^ V415 - 1), 0)</f>
        <v>0</v>
      </c>
      <c r="V415" s="71" t="n">
        <f aca="false">IF(B415&lt;EDATE($K$11,12), 0,  DATEDIF(EDATE($K$11,12), B415 + 1, "y") + 1 )</f>
        <v>27</v>
      </c>
    </row>
    <row r="416" customFormat="false" ht="12.75" hidden="false" customHeight="true" outlineLevel="0" collapsed="false">
      <c r="A416" s="228" t="n">
        <f aca="false">IF(OR(G415="",G415&lt;=0,C415&gt;150),NA(),A415+1)</f>
        <v>388</v>
      </c>
      <c r="B416" s="229" t="n">
        <f aca="false">IF(ISERROR(A416),"",IF($D$9="Annually",EDATE(B415,12),EDATE(B415,1)))</f>
        <v>58103</v>
      </c>
      <c r="C416" s="230" t="n">
        <f aca="false">IF(ISERROR(A416),"",C415+IF($D$9="Monthly",1/12,1))</f>
        <v>93.3833333333318</v>
      </c>
      <c r="D416" s="231" t="n">
        <f aca="false">IF(L415&lt;&gt;1, IF(G415&lt;E415,0,D415),IF(L415=1,IFERROR(ROUND(IF($G415 - (E415 * 6) &lt; 0, D415, ($G415 - (E415 * 6)) * $D$8 / 12),2),0) ) )</f>
        <v>5.8</v>
      </c>
      <c r="E416" s="231" t="n">
        <f aca="false">IF(ISERROR(A416), 0,  MAX(0,   MIN(    ROUND(G415 + D416, 2),    ROUND(FV($S$5, IF(type=1, A416, A415), , IF(J416&lt;&gt;1, -$D$20, -$P$16 + P416), 2), 0)   )  ) )</f>
        <v>36</v>
      </c>
      <c r="F416" s="231" t="n">
        <f aca="false">IF(J416&lt;&gt;1, "", IF(J415&lt;&gt;0, F415, $K$12))</f>
        <v>1</v>
      </c>
      <c r="G416" s="232" t="n">
        <f aca="false">IF(ISERROR(A416),"",ROUND(G415-E416+D416,2))</f>
        <v>1578.75</v>
      </c>
      <c r="H416" s="237" t="n">
        <f aca="false">IF(G416&gt;0,IFERROR(H415+(H415*($D$16/12)),""),"")</f>
        <v>35.1139331353265</v>
      </c>
      <c r="I416" s="223" t="n">
        <f aca="false">IF(ISERROR(A417),"",12 - MONTH(B416))</f>
        <v>11</v>
      </c>
      <c r="J416" s="224" t="n">
        <f aca="false">K416</f>
        <v>1</v>
      </c>
      <c r="K416" s="225" t="n">
        <f aca="false">_xlfn.IFNA(IF(B416&gt;=$K$11, 1,0),0)</f>
        <v>1</v>
      </c>
      <c r="L416" s="60" t="str">
        <f aca="false">IF(I416=0,1,"")</f>
        <v/>
      </c>
      <c r="P416" s="4" t="n">
        <f aca="false">IF(AND(G416&gt;E416, A416&lt;&gt;0, V416&lt;&gt;0), $N$5 * ($P$22 ^ V416 - 1), 0)</f>
        <v>0</v>
      </c>
      <c r="V416" s="71" t="n">
        <f aca="false">IF(B416&lt;EDATE($K$11,12), 0,  DATEDIF(EDATE($K$11,12), B416 + 1, "y") + 1 )</f>
        <v>28</v>
      </c>
    </row>
    <row r="417" customFormat="false" ht="12.75" hidden="false" customHeight="true" outlineLevel="0" collapsed="false">
      <c r="A417" s="228" t="n">
        <f aca="false">IF(OR(G416="",G416&lt;=0,C416&gt;150),NA(),A416+1)</f>
        <v>389</v>
      </c>
      <c r="B417" s="229" t="n">
        <f aca="false">IF(ISERROR(A417),"",IF($D$9="Annually",EDATE(B416,12),EDATE(B416,1)))</f>
        <v>58134</v>
      </c>
      <c r="C417" s="230" t="n">
        <f aca="false">IF(ISERROR(A417),"",C416+IF($D$9="Monthly",1/12,1))</f>
        <v>93.4666666666651</v>
      </c>
      <c r="D417" s="231" t="n">
        <f aca="false">IF(L416&lt;&gt;1, IF(G416&lt;E416,0,D416),IF(L416=1,IFERROR(ROUND(IF($G416 - (E416 * 6) &lt; 0, D416, ($G416 - (E416 * 6)) * $D$8 / 12),2),0) ) )</f>
        <v>5.8</v>
      </c>
      <c r="E417" s="231" t="n">
        <f aca="false">IF(ISERROR(A417), 0,  MAX(0,   MIN(    ROUND(G416 + D417, 2),    ROUND(FV($S$5, IF(type=1, A417, A416), , IF(J417&lt;&gt;1, -$D$20, -$P$16 + P417), 2), 0)   )  ) )</f>
        <v>36</v>
      </c>
      <c r="F417" s="231" t="n">
        <f aca="false">IF(J417&lt;&gt;1, "", IF(J416&lt;&gt;0, F416, $K$12))</f>
        <v>1</v>
      </c>
      <c r="G417" s="232" t="n">
        <f aca="false">IF(ISERROR(A417),"",ROUND(G416-E417+D417,2))</f>
        <v>1548.55</v>
      </c>
      <c r="H417" s="237" t="n">
        <f aca="false">IF(G417&gt;0,IFERROR(H416+(H416*($D$16/12)),""),"")</f>
        <v>35.1724563572187</v>
      </c>
      <c r="I417" s="223" t="n">
        <f aca="false">IF(ISERROR(A418),"",12 - MONTH(B417))</f>
        <v>10</v>
      </c>
      <c r="J417" s="224" t="n">
        <f aca="false">K417</f>
        <v>1</v>
      </c>
      <c r="K417" s="225" t="n">
        <f aca="false">_xlfn.IFNA(IF(B417&gt;=$K$11, 1,0),0)</f>
        <v>1</v>
      </c>
      <c r="L417" s="60" t="str">
        <f aca="false">IF(I417=0,1,"")</f>
        <v/>
      </c>
      <c r="P417" s="4" t="n">
        <f aca="false">IF(AND(G417&gt;E417, A417&lt;&gt;0, V417&lt;&gt;0), $N$5 * ($P$22 ^ V417 - 1), 0)</f>
        <v>0</v>
      </c>
      <c r="V417" s="71" t="n">
        <f aca="false">IF(B417&lt;EDATE($K$11,12), 0,  DATEDIF(EDATE($K$11,12), B417 + 1, "y") + 1 )</f>
        <v>28</v>
      </c>
    </row>
    <row r="418" customFormat="false" ht="12.75" hidden="false" customHeight="true" outlineLevel="0" collapsed="false">
      <c r="A418" s="228" t="n">
        <f aca="false">IF(OR(G417="",G417&lt;=0,C417&gt;150),NA(),A417+1)</f>
        <v>390</v>
      </c>
      <c r="B418" s="229" t="n">
        <f aca="false">IF(ISERROR(A418),"",IF($D$9="Annually",EDATE(B417,12),EDATE(B417,1)))</f>
        <v>58162</v>
      </c>
      <c r="C418" s="230" t="n">
        <f aca="false">IF(ISERROR(A418),"",C417+IF($D$9="Monthly",1/12,1))</f>
        <v>93.5499999999984</v>
      </c>
      <c r="D418" s="231" t="n">
        <f aca="false">IF(L417&lt;&gt;1, IF(G417&lt;E417,0,D417),IF(L417=1,IFERROR(ROUND(IF($G417 - (E417 * 6) &lt; 0, D417, ($G417 - (E417 * 6)) * $D$8 / 12),2),0) ) )</f>
        <v>5.8</v>
      </c>
      <c r="E418" s="231" t="n">
        <f aca="false">IF(ISERROR(A418), 0,  MAX(0,   MIN(    ROUND(G417 + D418, 2),    ROUND(FV($S$5, IF(type=1, A418, A417), , IF(J418&lt;&gt;1, -$D$20, -$P$16 + P418), 2), 0)   )  ) )</f>
        <v>36</v>
      </c>
      <c r="F418" s="231" t="n">
        <f aca="false">IF(J418&lt;&gt;1, "", IF(J417&lt;&gt;0, F417, $K$12))</f>
        <v>1</v>
      </c>
      <c r="G418" s="232" t="n">
        <f aca="false">IF(ISERROR(A418),"",ROUND(G417-E418+D418,2))</f>
        <v>1518.35</v>
      </c>
      <c r="H418" s="237" t="n">
        <f aca="false">IF(G418&gt;0,IFERROR(H417+(H417*($D$16/12)),""),"")</f>
        <v>35.2310771178141</v>
      </c>
      <c r="I418" s="223" t="n">
        <f aca="false">IF(ISERROR(A419),"",12 - MONTH(B418))</f>
        <v>9</v>
      </c>
      <c r="J418" s="224" t="n">
        <f aca="false">K418</f>
        <v>1</v>
      </c>
      <c r="K418" s="225" t="n">
        <f aca="false">_xlfn.IFNA(IF(B418&gt;=$K$11, 1,0),0)</f>
        <v>1</v>
      </c>
      <c r="L418" s="60" t="str">
        <f aca="false">IF(I418=0,1,"")</f>
        <v/>
      </c>
      <c r="P418" s="4" t="n">
        <f aca="false">IF(AND(G418&gt;E418, A418&lt;&gt;0, V418&lt;&gt;0), $N$5 * ($P$22 ^ V418 - 1), 0)</f>
        <v>0</v>
      </c>
      <c r="V418" s="71" t="n">
        <f aca="false">IF(B418&lt;EDATE($K$11,12), 0,  DATEDIF(EDATE($K$11,12), B418 + 1, "y") + 1 )</f>
        <v>28</v>
      </c>
    </row>
    <row r="419" customFormat="false" ht="12.75" hidden="false" customHeight="true" outlineLevel="0" collapsed="false">
      <c r="A419" s="228" t="n">
        <f aca="false">IF(OR(G418="",G418&lt;=0,C418&gt;150),NA(),A418+1)</f>
        <v>391</v>
      </c>
      <c r="B419" s="229" t="n">
        <f aca="false">IF(ISERROR(A419),"",IF($D$9="Annually",EDATE(B418,12),EDATE(B418,1)))</f>
        <v>58193</v>
      </c>
      <c r="C419" s="230" t="n">
        <f aca="false">IF(ISERROR(A419),"",C418+IF($D$9="Monthly",1/12,1))</f>
        <v>93.6333333333317</v>
      </c>
      <c r="D419" s="231" t="n">
        <f aca="false">IF(L418&lt;&gt;1, IF(G418&lt;E418,0,D418),IF(L418=1,IFERROR(ROUND(IF($G418 - (E418 * 6) &lt; 0, D418, ($G418 - (E418 * 6)) * $D$8 / 12),2),0) ) )</f>
        <v>5.8</v>
      </c>
      <c r="E419" s="231" t="n">
        <f aca="false">IF(ISERROR(A419), 0,  MAX(0,   MIN(    ROUND(G418 + D419, 2),    ROUND(FV($S$5, IF(type=1, A419, A418), , IF(J419&lt;&gt;1, -$D$20, -$P$16 + P419), 2), 0)   )  ) )</f>
        <v>36</v>
      </c>
      <c r="F419" s="231" t="n">
        <f aca="false">IF(J419&lt;&gt;1, "", IF(J418&lt;&gt;0, F418, $K$12))</f>
        <v>1</v>
      </c>
      <c r="G419" s="232" t="n">
        <f aca="false">IF(ISERROR(A419),"",ROUND(G418-E419+D419,2))</f>
        <v>1488.15</v>
      </c>
      <c r="H419" s="237" t="n">
        <f aca="false">IF(G419&gt;0,IFERROR(H418+(H418*($D$16/12)),""),"")</f>
        <v>35.2897955796771</v>
      </c>
      <c r="I419" s="223" t="n">
        <f aca="false">IF(ISERROR(A420),"",12 - MONTH(B419))</f>
        <v>8</v>
      </c>
      <c r="J419" s="224" t="n">
        <f aca="false">K419</f>
        <v>1</v>
      </c>
      <c r="K419" s="225" t="n">
        <f aca="false">_xlfn.IFNA(IF(B419&gt;=$K$11, 1,0),0)</f>
        <v>1</v>
      </c>
      <c r="L419" s="60" t="str">
        <f aca="false">IF(I419=0,1,"")</f>
        <v/>
      </c>
      <c r="P419" s="4" t="n">
        <f aca="false">IF(AND(G419&gt;E419, A419&lt;&gt;0, V419&lt;&gt;0), $N$5 * ($P$22 ^ V419 - 1), 0)</f>
        <v>0</v>
      </c>
      <c r="V419" s="71" t="n">
        <f aca="false">IF(B419&lt;EDATE($K$11,12), 0,  DATEDIF(EDATE($K$11,12), B419 + 1, "y") + 1 )</f>
        <v>28</v>
      </c>
    </row>
    <row r="420" customFormat="false" ht="12.75" hidden="false" customHeight="true" outlineLevel="0" collapsed="false">
      <c r="A420" s="228" t="n">
        <f aca="false">IF(OR(G419="",G419&lt;=0,C419&gt;150),NA(),A419+1)</f>
        <v>392</v>
      </c>
      <c r="B420" s="229" t="n">
        <f aca="false">IF(ISERROR(A420),"",IF($D$9="Annually",EDATE(B419,12),EDATE(B419,1)))</f>
        <v>58223</v>
      </c>
      <c r="C420" s="230" t="n">
        <f aca="false">IF(ISERROR(A420),"",C419+IF($D$9="Monthly",1/12,1))</f>
        <v>93.7166666666651</v>
      </c>
      <c r="D420" s="231" t="n">
        <f aca="false">IF(L419&lt;&gt;1, IF(G419&lt;E419,0,D419),IF(L419=1,IFERROR(ROUND(IF($G419 - (E419 * 6) &lt; 0, D419, ($G419 - (E419 * 6)) * $D$8 / 12),2),0) ) )</f>
        <v>5.8</v>
      </c>
      <c r="E420" s="231" t="n">
        <f aca="false">IF(ISERROR(A420), 0,  MAX(0,   MIN(    ROUND(G419 + D420, 2),    ROUND(FV($S$5, IF(type=1, A420, A419), , IF(J420&lt;&gt;1, -$D$20, -$P$16 + P420), 2), 0)   )  ) )</f>
        <v>36</v>
      </c>
      <c r="F420" s="231" t="n">
        <f aca="false">IF(J420&lt;&gt;1, "", IF(J419&lt;&gt;0, F419, $K$12))</f>
        <v>1</v>
      </c>
      <c r="G420" s="232" t="n">
        <f aca="false">IF(ISERROR(A420),"",ROUND(G419-E420+D420,2))</f>
        <v>1457.95</v>
      </c>
      <c r="H420" s="237" t="n">
        <f aca="false">IF(G420&gt;0,IFERROR(H419+(H419*($D$16/12)),""),"")</f>
        <v>35.3486119056432</v>
      </c>
      <c r="I420" s="223" t="n">
        <f aca="false">IF(ISERROR(A421),"",12 - MONTH(B420))</f>
        <v>7</v>
      </c>
      <c r="J420" s="224" t="n">
        <f aca="false">K420</f>
        <v>1</v>
      </c>
      <c r="K420" s="225" t="n">
        <f aca="false">_xlfn.IFNA(IF(B420&gt;=$K$11, 1,0),0)</f>
        <v>1</v>
      </c>
      <c r="L420" s="60" t="str">
        <f aca="false">IF(I420=0,1,"")</f>
        <v/>
      </c>
      <c r="P420" s="4" t="n">
        <f aca="false">IF(AND(G420&gt;E420, A420&lt;&gt;0, V420&lt;&gt;0), $N$5 * ($P$22 ^ V420 - 1), 0)</f>
        <v>0</v>
      </c>
      <c r="V420" s="71" t="n">
        <f aca="false">IF(B420&lt;EDATE($K$11,12), 0,  DATEDIF(EDATE($K$11,12), B420 + 1, "y") + 1 )</f>
        <v>28</v>
      </c>
    </row>
    <row r="421" customFormat="false" ht="12.75" hidden="false" customHeight="true" outlineLevel="0" collapsed="false">
      <c r="A421" s="228" t="n">
        <f aca="false">IF(OR(G420="",G420&lt;=0,C420&gt;150),NA(),A420+1)</f>
        <v>393</v>
      </c>
      <c r="B421" s="229" t="n">
        <f aca="false">IF(ISERROR(A421),"",IF($D$9="Annually",EDATE(B420,12),EDATE(B420,1)))</f>
        <v>58254</v>
      </c>
      <c r="C421" s="230" t="n">
        <f aca="false">IF(ISERROR(A421),"",C420+IF($D$9="Monthly",1/12,1))</f>
        <v>93.7999999999984</v>
      </c>
      <c r="D421" s="231" t="n">
        <f aca="false">IF(L420&lt;&gt;1, IF(G420&lt;E420,0,D420),IF(L420=1,IFERROR(ROUND(IF($G420 - (E420 * 6) &lt; 0, D420, ($G420 - (E420 * 6)) * $D$8 / 12),2),0) ) )</f>
        <v>5.8</v>
      </c>
      <c r="E421" s="231" t="n">
        <f aca="false">IF(ISERROR(A421), 0,  MAX(0,   MIN(    ROUND(G420 + D421, 2),    ROUND(FV($S$5, IF(type=1, A421, A420), , IF(J421&lt;&gt;1, -$D$20, -$P$16 + P421), 2), 0)   )  ) )</f>
        <v>36</v>
      </c>
      <c r="F421" s="231" t="n">
        <f aca="false">IF(J421&lt;&gt;1, "", IF(J420&lt;&gt;0, F420, $K$12))</f>
        <v>1</v>
      </c>
      <c r="G421" s="232" t="n">
        <f aca="false">IF(ISERROR(A421),"",ROUND(G420-E421+D421,2))</f>
        <v>1427.75</v>
      </c>
      <c r="H421" s="237" t="n">
        <f aca="false">IF(G421&gt;0,IFERROR(H420+(H420*($D$16/12)),""),"")</f>
        <v>35.4075262588193</v>
      </c>
      <c r="I421" s="223" t="n">
        <f aca="false">IF(ISERROR(A422),"",12 - MONTH(B421))</f>
        <v>6</v>
      </c>
      <c r="J421" s="224" t="n">
        <f aca="false">K421</f>
        <v>1</v>
      </c>
      <c r="K421" s="225" t="n">
        <f aca="false">_xlfn.IFNA(IF(B421&gt;=$K$11, 1,0),0)</f>
        <v>1</v>
      </c>
      <c r="L421" s="60" t="str">
        <f aca="false">IF(I421=0,1,"")</f>
        <v/>
      </c>
      <c r="P421" s="4" t="n">
        <f aca="false">IF(AND(G421&gt;E421, A421&lt;&gt;0, V421&lt;&gt;0), $N$5 * ($P$22 ^ V421 - 1), 0)</f>
        <v>0</v>
      </c>
      <c r="V421" s="71" t="n">
        <f aca="false">IF(B421&lt;EDATE($K$11,12), 0,  DATEDIF(EDATE($K$11,12), B421 + 1, "y") + 1 )</f>
        <v>28</v>
      </c>
    </row>
    <row r="422" customFormat="false" ht="12.75" hidden="false" customHeight="true" outlineLevel="0" collapsed="false">
      <c r="A422" s="228" t="n">
        <f aca="false">IF(OR(G421="",G421&lt;=0,C421&gt;150),NA(),A421+1)</f>
        <v>394</v>
      </c>
      <c r="B422" s="229" t="n">
        <f aca="false">IF(ISERROR(A422),"",IF($D$9="Annually",EDATE(B421,12),EDATE(B421,1)))</f>
        <v>58284</v>
      </c>
      <c r="C422" s="230" t="n">
        <f aca="false">IF(ISERROR(A422),"",C421+IF($D$9="Monthly",1/12,1))</f>
        <v>93.8833333333317</v>
      </c>
      <c r="D422" s="231" t="n">
        <f aca="false">IF(L421&lt;&gt;1, IF(G421&lt;E421,0,D421),IF(L421=1,IFERROR(ROUND(IF($G421 - (E421 * 6) &lt; 0, D421, ($G421 - (E421 * 6)) * $D$8 / 12),2),0) ) )</f>
        <v>5.8</v>
      </c>
      <c r="E422" s="231" t="n">
        <f aca="false">IF(ISERROR(A422), 0,  MAX(0,   MIN(    ROUND(G421 + D422, 2),    ROUND(FV($S$5, IF(type=1, A422, A421), , IF(J422&lt;&gt;1, -$D$20, -$P$16 + P422), 2), 0)   )  ) )</f>
        <v>36</v>
      </c>
      <c r="F422" s="231" t="n">
        <f aca="false">IF(J422&lt;&gt;1, "", IF(J421&lt;&gt;0, F421, $K$12))</f>
        <v>1</v>
      </c>
      <c r="G422" s="232" t="n">
        <f aca="false">IF(ISERROR(A422),"",ROUND(G421-E422+D422,2))</f>
        <v>1397.55</v>
      </c>
      <c r="H422" s="237" t="n">
        <f aca="false">IF(G422&gt;0,IFERROR(H421+(H421*($D$16/12)),""),"")</f>
        <v>35.466538802584</v>
      </c>
      <c r="I422" s="223" t="n">
        <f aca="false">IF(ISERROR(A423),"",12 - MONTH(B422))</f>
        <v>5</v>
      </c>
      <c r="J422" s="224" t="n">
        <f aca="false">K422</f>
        <v>1</v>
      </c>
      <c r="K422" s="225" t="n">
        <f aca="false">_xlfn.IFNA(IF(B422&gt;=$K$11, 1,0),0)</f>
        <v>1</v>
      </c>
      <c r="L422" s="60" t="str">
        <f aca="false">IF(I422=0,1,"")</f>
        <v/>
      </c>
      <c r="P422" s="4" t="n">
        <f aca="false">IF(AND(G422&gt;E422, A422&lt;&gt;0, V422&lt;&gt;0), $N$5 * ($P$22 ^ V422 - 1), 0)</f>
        <v>0</v>
      </c>
      <c r="V422" s="71" t="n">
        <f aca="false">IF(B422&lt;EDATE($K$11,12), 0,  DATEDIF(EDATE($K$11,12), B422 + 1, "y") + 1 )</f>
        <v>28</v>
      </c>
    </row>
    <row r="423" customFormat="false" ht="12.75" hidden="false" customHeight="true" outlineLevel="0" collapsed="false">
      <c r="A423" s="228" t="n">
        <f aca="false">IF(OR(G422="",G422&lt;=0,C422&gt;150),NA(),A422+1)</f>
        <v>395</v>
      </c>
      <c r="B423" s="229" t="n">
        <f aca="false">IF(ISERROR(A423),"",IF($D$9="Annually",EDATE(B422,12),EDATE(B422,1)))</f>
        <v>58315</v>
      </c>
      <c r="C423" s="230" t="n">
        <f aca="false">IF(ISERROR(A423),"",C422+IF($D$9="Monthly",1/12,1))</f>
        <v>93.9666666666651</v>
      </c>
      <c r="D423" s="231" t="n">
        <f aca="false">IF(L422&lt;&gt;1, IF(G422&lt;E422,0,D422),IF(L422=1,IFERROR(ROUND(IF($G422 - (E422 * 6) &lt; 0, D422, ($G422 - (E422 * 6)) * $D$8 / 12),2),0) ) )</f>
        <v>5.8</v>
      </c>
      <c r="E423" s="231" t="n">
        <f aca="false">IF(ISERROR(A423), 0,  MAX(0,   MIN(    ROUND(G422 + D423, 2),    ROUND(FV($S$5, IF(type=1, A423, A422), , IF(J423&lt;&gt;1, -$D$20, -$P$16 + P423), 2), 0)   )  ) )</f>
        <v>36</v>
      </c>
      <c r="F423" s="231" t="n">
        <f aca="false">IF(J423&lt;&gt;1, "", IF(J422&lt;&gt;0, F422, $K$12))</f>
        <v>1</v>
      </c>
      <c r="G423" s="232" t="n">
        <f aca="false">IF(ISERROR(A423),"",ROUND(G422-E423+D423,2))</f>
        <v>1367.35</v>
      </c>
      <c r="H423" s="237" t="n">
        <f aca="false">IF(G423&gt;0,IFERROR(H422+(H422*($D$16/12)),""),"")</f>
        <v>35.5256497005883</v>
      </c>
      <c r="I423" s="223" t="n">
        <f aca="false">IF(ISERROR(A424),"",12 - MONTH(B423))</f>
        <v>4</v>
      </c>
      <c r="J423" s="224" t="n">
        <f aca="false">K423</f>
        <v>1</v>
      </c>
      <c r="K423" s="225" t="n">
        <f aca="false">_xlfn.IFNA(IF(B423&gt;=$K$11, 1,0),0)</f>
        <v>1</v>
      </c>
      <c r="L423" s="60" t="str">
        <f aca="false">IF(I423=0,1,"")</f>
        <v/>
      </c>
      <c r="P423" s="4" t="n">
        <f aca="false">IF(AND(G423&gt;E423, A423&lt;&gt;0, V423&lt;&gt;0), $N$5 * ($P$22 ^ V423 - 1), 0)</f>
        <v>0</v>
      </c>
      <c r="V423" s="71" t="n">
        <f aca="false">IF(B423&lt;EDATE($K$11,12), 0,  DATEDIF(EDATE($K$11,12), B423 + 1, "y") + 1 )</f>
        <v>28</v>
      </c>
    </row>
    <row r="424" customFormat="false" ht="12.75" hidden="false" customHeight="true" outlineLevel="0" collapsed="false">
      <c r="A424" s="228" t="n">
        <f aca="false">IF(OR(G423="",G423&lt;=0,C423&gt;150),NA(),A423+1)</f>
        <v>396</v>
      </c>
      <c r="B424" s="229" t="n">
        <f aca="false">IF(ISERROR(A424),"",IF($D$9="Annually",EDATE(B423,12),EDATE(B423,1)))</f>
        <v>58346</v>
      </c>
      <c r="C424" s="230" t="n">
        <f aca="false">IF(ISERROR(A424),"",C423+IF($D$9="Monthly",1/12,1))</f>
        <v>94.0499999999984</v>
      </c>
      <c r="D424" s="231" t="n">
        <f aca="false">IF(L423&lt;&gt;1, IF(G423&lt;E423,0,D423),IF(L423=1,IFERROR(ROUND(IF($G423 - (E423 * 6) &lt; 0, D423, ($G423 - (E423 * 6)) * $D$8 / 12),2),0) ) )</f>
        <v>5.8</v>
      </c>
      <c r="E424" s="231" t="n">
        <f aca="false">IF(ISERROR(A424), 0,  MAX(0,   MIN(    ROUND(G423 + D424, 2),    ROUND(FV($S$5, IF(type=1, A424, A423), , IF(J424&lt;&gt;1, -$D$20, -$P$16 + P424), 2), 0)   )  ) )</f>
        <v>36</v>
      </c>
      <c r="F424" s="231" t="n">
        <f aca="false">IF(J424&lt;&gt;1, "", IF(J423&lt;&gt;0, F423, $K$12))</f>
        <v>1</v>
      </c>
      <c r="G424" s="232" t="n">
        <f aca="false">IF(ISERROR(A424),"",ROUND(G423-E424+D424,2))</f>
        <v>1337.15</v>
      </c>
      <c r="H424" s="237" t="n">
        <f aca="false">IF(G424&gt;0,IFERROR(H423+(H423*($D$16/12)),""),"")</f>
        <v>35.584859116756</v>
      </c>
      <c r="I424" s="223" t="n">
        <f aca="false">IF(ISERROR(A425),"",12 - MONTH(B424))</f>
        <v>3</v>
      </c>
      <c r="J424" s="224" t="n">
        <f aca="false">K424</f>
        <v>1</v>
      </c>
      <c r="K424" s="225" t="n">
        <f aca="false">_xlfn.IFNA(IF(B424&gt;=$K$11, 1,0),0)</f>
        <v>1</v>
      </c>
      <c r="L424" s="60" t="str">
        <f aca="false">IF(I424=0,1,"")</f>
        <v/>
      </c>
      <c r="P424" s="4" t="n">
        <f aca="false">IF(AND(G424&gt;E424, A424&lt;&gt;0, V424&lt;&gt;0), $N$5 * ($P$22 ^ V424 - 1), 0)</f>
        <v>0</v>
      </c>
      <c r="V424" s="71" t="n">
        <f aca="false">IF(B424&lt;EDATE($K$11,12), 0,  DATEDIF(EDATE($K$11,12), B424 + 1, "y") + 1 )</f>
        <v>28</v>
      </c>
    </row>
    <row r="425" customFormat="false" ht="12.75" hidden="false" customHeight="true" outlineLevel="0" collapsed="false">
      <c r="A425" s="228" t="n">
        <f aca="false">IF(OR(G424="",G424&lt;=0,C424&gt;150),NA(),A424+1)</f>
        <v>397</v>
      </c>
      <c r="B425" s="229" t="n">
        <f aca="false">IF(ISERROR(A425),"",IF($D$9="Annually",EDATE(B424,12),EDATE(B424,1)))</f>
        <v>58376</v>
      </c>
      <c r="C425" s="230" t="n">
        <f aca="false">IF(ISERROR(A425),"",C424+IF($D$9="Monthly",1/12,1))</f>
        <v>94.1333333333317</v>
      </c>
      <c r="D425" s="231" t="n">
        <f aca="false">IF(L424&lt;&gt;1, IF(G424&lt;E424,0,D424),IF(L424=1,IFERROR(ROUND(IF($G424 - (E424 * 6) &lt; 0, D424, ($G424 - (E424 * 6)) * $D$8 / 12),2),0) ) )</f>
        <v>5.8</v>
      </c>
      <c r="E425" s="231" t="n">
        <f aca="false">IF(ISERROR(A425), 0,  MAX(0,   MIN(    ROUND(G424 + D425, 2),    ROUND(FV($S$5, IF(type=1, A425, A424), , IF(J425&lt;&gt;1, -$D$20, -$P$16 + P425), 2), 0)   )  ) )</f>
        <v>36</v>
      </c>
      <c r="F425" s="231" t="n">
        <f aca="false">IF(J425&lt;&gt;1, "", IF(J424&lt;&gt;0, F424, $K$12))</f>
        <v>1</v>
      </c>
      <c r="G425" s="232" t="n">
        <f aca="false">IF(ISERROR(A425),"",ROUND(G424-E425+D425,2))</f>
        <v>1306.95</v>
      </c>
      <c r="H425" s="237" t="n">
        <f aca="false">IF(G425&gt;0,IFERROR(H424+(H424*($D$16/12)),""),"")</f>
        <v>35.6441672152839</v>
      </c>
      <c r="I425" s="223" t="n">
        <f aca="false">IF(ISERROR(A426),"",12 - MONTH(B425))</f>
        <v>2</v>
      </c>
      <c r="J425" s="224" t="n">
        <f aca="false">K425</f>
        <v>1</v>
      </c>
      <c r="K425" s="225" t="n">
        <f aca="false">_xlfn.IFNA(IF(B425&gt;=$K$11, 1,0),0)</f>
        <v>1</v>
      </c>
      <c r="L425" s="60" t="str">
        <f aca="false">IF(I425=0,1,"")</f>
        <v/>
      </c>
      <c r="P425" s="4" t="n">
        <f aca="false">IF(AND(G425&gt;E425, A425&lt;&gt;0, V425&lt;&gt;0), $N$5 * ($P$22 ^ V425 - 1), 0)</f>
        <v>0</v>
      </c>
      <c r="V425" s="71" t="n">
        <f aca="false">IF(B425&lt;EDATE($K$11,12), 0,  DATEDIF(EDATE($K$11,12), B425 + 1, "y") + 1 )</f>
        <v>28</v>
      </c>
    </row>
    <row r="426" customFormat="false" ht="12.75" hidden="false" customHeight="true" outlineLevel="0" collapsed="false">
      <c r="A426" s="228" t="n">
        <f aca="false">IF(OR(G425="",G425&lt;=0,C425&gt;150),NA(),A425+1)</f>
        <v>398</v>
      </c>
      <c r="B426" s="229" t="n">
        <f aca="false">IF(ISERROR(A426),"",IF($D$9="Annually",EDATE(B425,12),EDATE(B425,1)))</f>
        <v>58407</v>
      </c>
      <c r="C426" s="230" t="n">
        <f aca="false">IF(ISERROR(A426),"",C425+IF($D$9="Monthly",1/12,1))</f>
        <v>94.216666666665</v>
      </c>
      <c r="D426" s="231" t="n">
        <f aca="false">IF(L425&lt;&gt;1, IF(G425&lt;E425,0,D425),IF(L425=1,IFERROR(ROUND(IF($G425 - (E425 * 6) &lt; 0, D425, ($G425 - (E425 * 6)) * $D$8 / 12),2),0) ) )</f>
        <v>5.8</v>
      </c>
      <c r="E426" s="231" t="n">
        <f aca="false">IF(ISERROR(A426), 0,  MAX(0,   MIN(    ROUND(G425 + D426, 2),    ROUND(FV($S$5, IF(type=1, A426, A425), , IF(J426&lt;&gt;1, -$D$20, -$P$16 + P426), 2), 0)   )  ) )</f>
        <v>36</v>
      </c>
      <c r="F426" s="231" t="n">
        <f aca="false">IF(J426&lt;&gt;1, "", IF(J425&lt;&gt;0, F425, $K$12))</f>
        <v>1</v>
      </c>
      <c r="G426" s="232" t="n">
        <f aca="false">IF(ISERROR(A426),"",ROUND(G425-E426+D426,2))</f>
        <v>1276.75</v>
      </c>
      <c r="H426" s="237" t="n">
        <f aca="false">IF(G426&gt;0,IFERROR(H425+(H425*($D$16/12)),""),"")</f>
        <v>35.7035741606427</v>
      </c>
      <c r="I426" s="223" t="n">
        <f aca="false">IF(ISERROR(A427),"",12 - MONTH(B426))</f>
        <v>1</v>
      </c>
      <c r="J426" s="224" t="n">
        <f aca="false">K426</f>
        <v>1</v>
      </c>
      <c r="K426" s="225" t="n">
        <f aca="false">_xlfn.IFNA(IF(B426&gt;=$K$11, 1,0),0)</f>
        <v>1</v>
      </c>
      <c r="L426" s="60" t="str">
        <f aca="false">IF(I426=0,1,"")</f>
        <v/>
      </c>
      <c r="P426" s="4" t="n">
        <f aca="false">IF(AND(G426&gt;E426, A426&lt;&gt;0, V426&lt;&gt;0), $N$5 * ($P$22 ^ V426 - 1), 0)</f>
        <v>0</v>
      </c>
      <c r="V426" s="71" t="n">
        <f aca="false">IF(B426&lt;EDATE($K$11,12), 0,  DATEDIF(EDATE($K$11,12), B426 + 1, "y") + 1 )</f>
        <v>28</v>
      </c>
    </row>
    <row r="427" customFormat="false" ht="12.75" hidden="false" customHeight="true" outlineLevel="0" collapsed="false">
      <c r="A427" s="228" t="n">
        <f aca="false">IF(OR(G426="",G426&lt;=0,C426&gt;150),NA(),A426+1)</f>
        <v>399</v>
      </c>
      <c r="B427" s="229" t="n">
        <f aca="false">IF(ISERROR(A427),"",IF($D$9="Annually",EDATE(B426,12),EDATE(B426,1)))</f>
        <v>58437</v>
      </c>
      <c r="C427" s="230" t="n">
        <f aca="false">IF(ISERROR(A427),"",C426+IF($D$9="Monthly",1/12,1))</f>
        <v>94.2999999999984</v>
      </c>
      <c r="D427" s="231" t="n">
        <f aca="false">IF(L426&lt;&gt;1, IF(G426&lt;E426,0,D426),IF(L426=1,IFERROR(ROUND(IF($G426 - (E426 * 6) &lt; 0, D426, ($G426 - (E426 * 6)) * $D$8 / 12),2),0) ) )</f>
        <v>5.8</v>
      </c>
      <c r="E427" s="231" t="n">
        <f aca="false">IF(ISERROR(A427), 0,  MAX(0,   MIN(    ROUND(G426 + D427, 2),    ROUND(FV($S$5, IF(type=1, A427, A426), , IF(J427&lt;&gt;1, -$D$20, -$P$16 + P427), 2), 0)   )  ) )</f>
        <v>36</v>
      </c>
      <c r="F427" s="231" t="n">
        <f aca="false">IF(J427&lt;&gt;1, "", IF(J426&lt;&gt;0, F426, $K$12))</f>
        <v>1</v>
      </c>
      <c r="G427" s="232" t="n">
        <f aca="false">IF(ISERROR(A427),"",ROUND(G426-E427+D427,2))</f>
        <v>1246.55</v>
      </c>
      <c r="H427" s="237" t="n">
        <f aca="false">IF(G427&gt;0,IFERROR(H426+(H426*($D$16/12)),""),"")</f>
        <v>35.7630801175771</v>
      </c>
      <c r="I427" s="223" t="n">
        <f aca="false">IF(ISERROR(A428),"",12 - MONTH(B427))</f>
        <v>0</v>
      </c>
      <c r="J427" s="224" t="n">
        <f aca="false">K427</f>
        <v>1</v>
      </c>
      <c r="K427" s="225" t="n">
        <f aca="false">_xlfn.IFNA(IF(B427&gt;=$K$11, 1,0),0)</f>
        <v>1</v>
      </c>
      <c r="L427" s="60" t="n">
        <f aca="false">IF(I427=0,1,"")</f>
        <v>1</v>
      </c>
      <c r="P427" s="4" t="n">
        <f aca="false">IF(AND(G427&gt;E427, A427&lt;&gt;0, V427&lt;&gt;0), $N$5 * ($P$22 ^ V427 - 1), 0)</f>
        <v>0</v>
      </c>
      <c r="V427" s="71" t="n">
        <f aca="false">IF(B427&lt;EDATE($K$11,12), 0,  DATEDIF(EDATE($K$11,12), B427 + 1, "y") + 1 )</f>
        <v>28</v>
      </c>
    </row>
    <row r="428" customFormat="false" ht="12.75" hidden="false" customHeight="true" outlineLevel="0" collapsed="false">
      <c r="A428" s="228" t="n">
        <f aca="false">IF(OR(G427="",G427&lt;=0,C427&gt;150),NA(),A427+1)</f>
        <v>400</v>
      </c>
      <c r="B428" s="229" t="n">
        <f aca="false">IF(ISERROR(A428),"",IF($D$9="Annually",EDATE(B427,12),EDATE(B427,1)))</f>
        <v>58468</v>
      </c>
      <c r="C428" s="230" t="n">
        <f aca="false">IF(ISERROR(A428),"",C427+IF($D$9="Monthly",1/12,1))</f>
        <v>94.3833333333317</v>
      </c>
      <c r="D428" s="231" t="n">
        <f aca="false">IF(L427&lt;&gt;1, IF(G427&lt;E427,0,D427),IF(L427=1,IFERROR(ROUND(IF($G427 - (E427 * 6) &lt; 0, D427, ($G427 - (E427 * 6)) * $D$8 / 12),2),0) ) )</f>
        <v>4.29</v>
      </c>
      <c r="E428" s="231" t="n">
        <f aca="false">IF(ISERROR(A428), 0,  MAX(0,   MIN(    ROUND(G427 + D428, 2),    ROUND(FV($S$5, IF(type=1, A428, A427), , IF(J428&lt;&gt;1, -$D$20, -$P$16 + P428), 2), 0)   )  ) )</f>
        <v>36</v>
      </c>
      <c r="F428" s="231" t="n">
        <f aca="false">IF(J428&lt;&gt;1, "", IF(J427&lt;&gt;0, F427, $K$12))</f>
        <v>1</v>
      </c>
      <c r="G428" s="232" t="n">
        <f aca="false">IF(ISERROR(A428),"",ROUND(G427-E428+D428,2))</f>
        <v>1214.84</v>
      </c>
      <c r="H428" s="237" t="n">
        <f aca="false">IF(G428&gt;0,IFERROR(H427+(H427*($D$16/12)),""),"")</f>
        <v>35.8226852511064</v>
      </c>
      <c r="I428" s="223" t="n">
        <f aca="false">IF(ISERROR(A429),"",12 - MONTH(B428))</f>
        <v>11</v>
      </c>
      <c r="J428" s="224" t="n">
        <f aca="false">K428</f>
        <v>1</v>
      </c>
      <c r="K428" s="225" t="n">
        <f aca="false">_xlfn.IFNA(IF(B428&gt;=$K$11, 1,0),0)</f>
        <v>1</v>
      </c>
      <c r="L428" s="60" t="str">
        <f aca="false">IF(I428=0,1,"")</f>
        <v/>
      </c>
      <c r="P428" s="4" t="n">
        <f aca="false">IF(AND(G428&gt;E428, A428&lt;&gt;0, V428&lt;&gt;0), $N$5 * ($P$22 ^ V428 - 1), 0)</f>
        <v>0</v>
      </c>
      <c r="V428" s="71" t="n">
        <f aca="false">IF(B428&lt;EDATE($K$11,12), 0,  DATEDIF(EDATE($K$11,12), B428 + 1, "y") + 1 )</f>
        <v>29</v>
      </c>
    </row>
    <row r="429" customFormat="false" ht="12.75" hidden="false" customHeight="true" outlineLevel="0" collapsed="false">
      <c r="A429" s="228" t="n">
        <f aca="false">IF(OR(G428="",G428&lt;=0,C428&gt;150),NA(),A428+1)</f>
        <v>401</v>
      </c>
      <c r="B429" s="229" t="n">
        <f aca="false">IF(ISERROR(A429),"",IF($D$9="Annually",EDATE(B428,12),EDATE(B428,1)))</f>
        <v>58499</v>
      </c>
      <c r="C429" s="230" t="n">
        <f aca="false">IF(ISERROR(A429),"",C428+IF($D$9="Monthly",1/12,1))</f>
        <v>94.466666666665</v>
      </c>
      <c r="D429" s="231" t="n">
        <f aca="false">IF(L428&lt;&gt;1, IF(G428&lt;E428,0,D428),IF(L428=1,IFERROR(ROUND(IF($G428 - (E428 * 6) &lt; 0, D428, ($G428 - (E428 * 6)) * $D$8 / 12),2),0) ) )</f>
        <v>4.29</v>
      </c>
      <c r="E429" s="231" t="n">
        <f aca="false">IF(ISERROR(A429), 0,  MAX(0,   MIN(    ROUND(G428 + D429, 2),    ROUND(FV($S$5, IF(type=1, A429, A428), , IF(J429&lt;&gt;1, -$D$20, -$P$16 + P429), 2), 0)   )  ) )</f>
        <v>37</v>
      </c>
      <c r="F429" s="231" t="n">
        <f aca="false">IF(J429&lt;&gt;1, "", IF(J428&lt;&gt;0, F428, $K$12))</f>
        <v>1</v>
      </c>
      <c r="G429" s="232" t="n">
        <f aca="false">IF(ISERROR(A429),"",ROUND(G428-E429+D429,2))</f>
        <v>1182.13</v>
      </c>
      <c r="H429" s="237" t="n">
        <f aca="false">IF(G429&gt;0,IFERROR(H428+(H428*($D$16/12)),""),"")</f>
        <v>35.8823897265249</v>
      </c>
      <c r="I429" s="223" t="n">
        <f aca="false">IF(ISERROR(A430),"",12 - MONTH(B429))</f>
        <v>10</v>
      </c>
      <c r="J429" s="224" t="n">
        <f aca="false">K429</f>
        <v>1</v>
      </c>
      <c r="K429" s="225" t="n">
        <f aca="false">_xlfn.IFNA(IF(B429&gt;=$K$11, 1,0),0)</f>
        <v>1</v>
      </c>
      <c r="L429" s="60" t="str">
        <f aca="false">IF(I429=0,1,"")</f>
        <v/>
      </c>
      <c r="P429" s="4" t="n">
        <f aca="false">IF(AND(G429&gt;E429, A429&lt;&gt;0, V429&lt;&gt;0), $N$5 * ($P$22 ^ V429 - 1), 0)</f>
        <v>0</v>
      </c>
      <c r="V429" s="71" t="n">
        <f aca="false">IF(B429&lt;EDATE($K$11,12), 0,  DATEDIF(EDATE($K$11,12), B429 + 1, "y") + 1 )</f>
        <v>29</v>
      </c>
    </row>
    <row r="430" customFormat="false" ht="12.75" hidden="false" customHeight="true" outlineLevel="0" collapsed="false">
      <c r="A430" s="228" t="n">
        <f aca="false">IF(OR(G429="",G429&lt;=0,C429&gt;150),NA(),A429+1)</f>
        <v>402</v>
      </c>
      <c r="B430" s="229" t="n">
        <f aca="false">IF(ISERROR(A430),"",IF($D$9="Annually",EDATE(B429,12),EDATE(B429,1)))</f>
        <v>58528</v>
      </c>
      <c r="C430" s="230" t="n">
        <f aca="false">IF(ISERROR(A430),"",C429+IF($D$9="Monthly",1/12,1))</f>
        <v>94.5499999999984</v>
      </c>
      <c r="D430" s="231" t="n">
        <f aca="false">IF(L429&lt;&gt;1, IF(G429&lt;E429,0,D429),IF(L429=1,IFERROR(ROUND(IF($G429 - (E429 * 6) &lt; 0, D429, ($G429 - (E429 * 6)) * $D$8 / 12),2),0) ) )</f>
        <v>4.29</v>
      </c>
      <c r="E430" s="231" t="n">
        <f aca="false">IF(ISERROR(A430), 0,  MAX(0,   MIN(    ROUND(G429 + D430, 2),    ROUND(FV($S$5, IF(type=1, A430, A429), , IF(J430&lt;&gt;1, -$D$20, -$P$16 + P430), 2), 0)   )  ) )</f>
        <v>37</v>
      </c>
      <c r="F430" s="231" t="n">
        <f aca="false">IF(J430&lt;&gt;1, "", IF(J429&lt;&gt;0, F429, $K$12))</f>
        <v>1</v>
      </c>
      <c r="G430" s="232" t="n">
        <f aca="false">IF(ISERROR(A430),"",ROUND(G429-E430+D430,2))</f>
        <v>1149.42</v>
      </c>
      <c r="H430" s="237" t="n">
        <f aca="false">IF(G430&gt;0,IFERROR(H429+(H429*($D$16/12)),""),"")</f>
        <v>35.9421937094025</v>
      </c>
      <c r="I430" s="223" t="n">
        <f aca="false">IF(ISERROR(A431),"",12 - MONTH(B430))</f>
        <v>9</v>
      </c>
      <c r="J430" s="224" t="n">
        <f aca="false">K430</f>
        <v>1</v>
      </c>
      <c r="K430" s="225" t="n">
        <f aca="false">_xlfn.IFNA(IF(B430&gt;=$K$11, 1,0),0)</f>
        <v>1</v>
      </c>
      <c r="L430" s="60" t="str">
        <f aca="false">IF(I430=0,1,"")</f>
        <v/>
      </c>
      <c r="P430" s="4" t="n">
        <f aca="false">IF(AND(G430&gt;E430, A430&lt;&gt;0, V430&lt;&gt;0), $N$5 * ($P$22 ^ V430 - 1), 0)</f>
        <v>0</v>
      </c>
      <c r="V430" s="71" t="n">
        <f aca="false">IF(B430&lt;EDATE($K$11,12), 0,  DATEDIF(EDATE($K$11,12), B430 + 1, "y") + 1 )</f>
        <v>29</v>
      </c>
    </row>
    <row r="431" customFormat="false" ht="12.75" hidden="false" customHeight="true" outlineLevel="0" collapsed="false">
      <c r="A431" s="228" t="n">
        <f aca="false">IF(OR(G430="",G430&lt;=0,C430&gt;150),NA(),A430+1)</f>
        <v>403</v>
      </c>
      <c r="B431" s="229" t="n">
        <f aca="false">IF(ISERROR(A431),"",IF($D$9="Annually",EDATE(B430,12),EDATE(B430,1)))</f>
        <v>58559</v>
      </c>
      <c r="C431" s="230" t="n">
        <f aca="false">IF(ISERROR(A431),"",C430+IF($D$9="Monthly",1/12,1))</f>
        <v>94.6333333333317</v>
      </c>
      <c r="D431" s="231" t="n">
        <f aca="false">IF(L430&lt;&gt;1, IF(G430&lt;E430,0,D430),IF(L430=1,IFERROR(ROUND(IF($G430 - (E430 * 6) &lt; 0, D430, ($G430 - (E430 * 6)) * $D$8 / 12),2),0) ) )</f>
        <v>4.29</v>
      </c>
      <c r="E431" s="231" t="n">
        <f aca="false">IF(ISERROR(A431), 0,  MAX(0,   MIN(    ROUND(G430 + D431, 2),    ROUND(FV($S$5, IF(type=1, A431, A430), , IF(J431&lt;&gt;1, -$D$20, -$P$16 + P431), 2), 0)   )  ) )</f>
        <v>37</v>
      </c>
      <c r="F431" s="231" t="n">
        <f aca="false">IF(J431&lt;&gt;1, "", IF(J430&lt;&gt;0, F430, $K$12))</f>
        <v>1</v>
      </c>
      <c r="G431" s="232" t="n">
        <f aca="false">IF(ISERROR(A431),"",ROUND(G430-E431+D431,2))</f>
        <v>1116.71</v>
      </c>
      <c r="H431" s="237" t="n">
        <f aca="false">IF(G431&gt;0,IFERROR(H430+(H430*($D$16/12)),""),"")</f>
        <v>36.0020973655848</v>
      </c>
      <c r="I431" s="223" t="n">
        <f aca="false">IF(ISERROR(A432),"",12 - MONTH(B431))</f>
        <v>8</v>
      </c>
      <c r="J431" s="224" t="n">
        <f aca="false">K431</f>
        <v>1</v>
      </c>
      <c r="K431" s="225" t="n">
        <f aca="false">_xlfn.IFNA(IF(B431&gt;=$K$11, 1,0),0)</f>
        <v>1</v>
      </c>
      <c r="L431" s="60" t="str">
        <f aca="false">IF(I431=0,1,"")</f>
        <v/>
      </c>
      <c r="P431" s="4" t="n">
        <f aca="false">IF(AND(G431&gt;E431, A431&lt;&gt;0, V431&lt;&gt;0), $N$5 * ($P$22 ^ V431 - 1), 0)</f>
        <v>0</v>
      </c>
      <c r="V431" s="71" t="n">
        <f aca="false">IF(B431&lt;EDATE($K$11,12), 0,  DATEDIF(EDATE($K$11,12), B431 + 1, "y") + 1 )</f>
        <v>29</v>
      </c>
    </row>
    <row r="432" customFormat="false" ht="12.75" hidden="false" customHeight="true" outlineLevel="0" collapsed="false">
      <c r="A432" s="228" t="n">
        <f aca="false">IF(OR(G431="",G431&lt;=0,C431&gt;150),NA(),A431+1)</f>
        <v>404</v>
      </c>
      <c r="B432" s="229" t="n">
        <f aca="false">IF(ISERROR(A432),"",IF($D$9="Annually",EDATE(B431,12),EDATE(B431,1)))</f>
        <v>58589</v>
      </c>
      <c r="C432" s="230" t="n">
        <f aca="false">IF(ISERROR(A432),"",C431+IF($D$9="Monthly",1/12,1))</f>
        <v>94.716666666665</v>
      </c>
      <c r="D432" s="231" t="n">
        <f aca="false">IF(L431&lt;&gt;1, IF(G431&lt;E431,0,D431),IF(L431=1,IFERROR(ROUND(IF($G431 - (E431 * 6) &lt; 0, D431, ($G431 - (E431 * 6)) * $D$8 / 12),2),0) ) )</f>
        <v>4.29</v>
      </c>
      <c r="E432" s="231" t="n">
        <f aca="false">IF(ISERROR(A432), 0,  MAX(0,   MIN(    ROUND(G431 + D432, 2),    ROUND(FV($S$5, IF(type=1, A432, A431), , IF(J432&lt;&gt;1, -$D$20, -$P$16 + P432), 2), 0)   )  ) )</f>
        <v>37</v>
      </c>
      <c r="F432" s="231" t="n">
        <f aca="false">IF(J432&lt;&gt;1, "", IF(J431&lt;&gt;0, F431, $K$12))</f>
        <v>1</v>
      </c>
      <c r="G432" s="232" t="n">
        <f aca="false">IF(ISERROR(A432),"",ROUND(G431-E432+D432,2))</f>
        <v>1084</v>
      </c>
      <c r="H432" s="237" t="n">
        <f aca="false">IF(G432&gt;0,IFERROR(H431+(H431*($D$16/12)),""),"")</f>
        <v>36.0621008611941</v>
      </c>
      <c r="I432" s="223" t="n">
        <f aca="false">IF(ISERROR(A433),"",12 - MONTH(B432))</f>
        <v>7</v>
      </c>
      <c r="J432" s="224" t="n">
        <f aca="false">K432</f>
        <v>1</v>
      </c>
      <c r="K432" s="225" t="n">
        <f aca="false">_xlfn.IFNA(IF(B432&gt;=$K$11, 1,0),0)</f>
        <v>1</v>
      </c>
      <c r="L432" s="60" t="str">
        <f aca="false">IF(I432=0,1,"")</f>
        <v/>
      </c>
      <c r="P432" s="4" t="n">
        <f aca="false">IF(AND(G432&gt;E432, A432&lt;&gt;0, V432&lt;&gt;0), $N$5 * ($P$22 ^ V432 - 1), 0)</f>
        <v>0</v>
      </c>
      <c r="V432" s="71" t="n">
        <f aca="false">IF(B432&lt;EDATE($K$11,12), 0,  DATEDIF(EDATE($K$11,12), B432 + 1, "y") + 1 )</f>
        <v>29</v>
      </c>
    </row>
    <row r="433" customFormat="false" ht="12.75" hidden="false" customHeight="true" outlineLevel="0" collapsed="false">
      <c r="A433" s="228" t="n">
        <f aca="false">IF(OR(G432="",G432&lt;=0,C432&gt;150),NA(),A432+1)</f>
        <v>405</v>
      </c>
      <c r="B433" s="229" t="n">
        <f aca="false">IF(ISERROR(A433),"",IF($D$9="Annually",EDATE(B432,12),EDATE(B432,1)))</f>
        <v>58620</v>
      </c>
      <c r="C433" s="230" t="n">
        <f aca="false">IF(ISERROR(A433),"",C432+IF($D$9="Monthly",1/12,1))</f>
        <v>94.7999999999983</v>
      </c>
      <c r="D433" s="231" t="n">
        <f aca="false">IF(L432&lt;&gt;1, IF(G432&lt;E432,0,D432),IF(L432=1,IFERROR(ROUND(IF($G432 - (E432 * 6) &lt; 0, D432, ($G432 - (E432 * 6)) * $D$8 / 12),2),0) ) )</f>
        <v>4.29</v>
      </c>
      <c r="E433" s="231" t="n">
        <f aca="false">IF(ISERROR(A433), 0,  MAX(0,   MIN(    ROUND(G432 + D433, 2),    ROUND(FV($S$5, IF(type=1, A433, A432), , IF(J433&lt;&gt;1, -$D$20, -$P$16 + P433), 2), 0)   )  ) )</f>
        <v>37</v>
      </c>
      <c r="F433" s="231" t="n">
        <f aca="false">IF(J433&lt;&gt;1, "", IF(J432&lt;&gt;0, F432, $K$12))</f>
        <v>1</v>
      </c>
      <c r="G433" s="232" t="n">
        <f aca="false">IF(ISERROR(A433),"",ROUND(G432-E433+D433,2))</f>
        <v>1051.29</v>
      </c>
      <c r="H433" s="237" t="n">
        <f aca="false">IF(G433&gt;0,IFERROR(H432+(H432*($D$16/12)),""),"")</f>
        <v>36.1222043626294</v>
      </c>
      <c r="I433" s="223" t="n">
        <f aca="false">IF(ISERROR(A434),"",12 - MONTH(B433))</f>
        <v>6</v>
      </c>
      <c r="J433" s="224" t="n">
        <f aca="false">K433</f>
        <v>1</v>
      </c>
      <c r="K433" s="225" t="n">
        <f aca="false">_xlfn.IFNA(IF(B433&gt;=$K$11, 1,0),0)</f>
        <v>1</v>
      </c>
      <c r="L433" s="60" t="str">
        <f aca="false">IF(I433=0,1,"")</f>
        <v/>
      </c>
      <c r="P433" s="4" t="n">
        <f aca="false">IF(AND(G433&gt;E433, A433&lt;&gt;0, V433&lt;&gt;0), $N$5 * ($P$22 ^ V433 - 1), 0)</f>
        <v>0</v>
      </c>
      <c r="V433" s="71" t="n">
        <f aca="false">IF(B433&lt;EDATE($K$11,12), 0,  DATEDIF(EDATE($K$11,12), B433 + 1, "y") + 1 )</f>
        <v>29</v>
      </c>
    </row>
    <row r="434" customFormat="false" ht="12.75" hidden="false" customHeight="true" outlineLevel="0" collapsed="false">
      <c r="A434" s="228" t="n">
        <f aca="false">IF(OR(G433="",G433&lt;=0,C433&gt;150),NA(),A433+1)</f>
        <v>406</v>
      </c>
      <c r="B434" s="229" t="n">
        <f aca="false">IF(ISERROR(A434),"",IF($D$9="Annually",EDATE(B433,12),EDATE(B433,1)))</f>
        <v>58650</v>
      </c>
      <c r="C434" s="230" t="n">
        <f aca="false">IF(ISERROR(A434),"",C433+IF($D$9="Monthly",1/12,1))</f>
        <v>94.8833333333317</v>
      </c>
      <c r="D434" s="231" t="n">
        <f aca="false">IF(L433&lt;&gt;1, IF(G433&lt;E433,0,D433),IF(L433=1,IFERROR(ROUND(IF($G433 - (E433 * 6) &lt; 0, D433, ($G433 - (E433 * 6)) * $D$8 / 12),2),0) ) )</f>
        <v>4.29</v>
      </c>
      <c r="E434" s="231" t="n">
        <f aca="false">IF(ISERROR(A434), 0,  MAX(0,   MIN(    ROUND(G433 + D434, 2),    ROUND(FV($S$5, IF(type=1, A434, A433), , IF(J434&lt;&gt;1, -$D$20, -$P$16 + P434), 2), 0)   )  ) )</f>
        <v>37</v>
      </c>
      <c r="F434" s="231" t="n">
        <f aca="false">IF(J434&lt;&gt;1, "", IF(J433&lt;&gt;0, F433, $K$12))</f>
        <v>1</v>
      </c>
      <c r="G434" s="232" t="n">
        <f aca="false">IF(ISERROR(A434),"",ROUND(G433-E434+D434,2))</f>
        <v>1018.58</v>
      </c>
      <c r="H434" s="237" t="n">
        <f aca="false">IF(G434&gt;0,IFERROR(H433+(H433*($D$16/12)),""),"")</f>
        <v>36.1824080365671</v>
      </c>
      <c r="I434" s="223" t="n">
        <f aca="false">IF(ISERROR(A435),"",12 - MONTH(B434))</f>
        <v>5</v>
      </c>
      <c r="J434" s="224" t="n">
        <f aca="false">K434</f>
        <v>1</v>
      </c>
      <c r="K434" s="225" t="n">
        <f aca="false">_xlfn.IFNA(IF(B434&gt;=$K$11, 1,0),0)</f>
        <v>1</v>
      </c>
      <c r="L434" s="60" t="str">
        <f aca="false">IF(I434=0,1,"")</f>
        <v/>
      </c>
      <c r="P434" s="4" t="n">
        <f aca="false">IF(AND(G434&gt;E434, A434&lt;&gt;0, V434&lt;&gt;0), $N$5 * ($P$22 ^ V434 - 1), 0)</f>
        <v>0</v>
      </c>
      <c r="V434" s="71" t="n">
        <f aca="false">IF(B434&lt;EDATE($K$11,12), 0,  DATEDIF(EDATE($K$11,12), B434 + 1, "y") + 1 )</f>
        <v>29</v>
      </c>
    </row>
    <row r="435" customFormat="false" ht="12.75" hidden="false" customHeight="true" outlineLevel="0" collapsed="false">
      <c r="A435" s="228" t="n">
        <f aca="false">IF(OR(G434="",G434&lt;=0,C434&gt;150),NA(),A434+1)</f>
        <v>407</v>
      </c>
      <c r="B435" s="229" t="n">
        <f aca="false">IF(ISERROR(A435),"",IF($D$9="Annually",EDATE(B434,12),EDATE(B434,1)))</f>
        <v>58681</v>
      </c>
      <c r="C435" s="230" t="n">
        <f aca="false">IF(ISERROR(A435),"",C434+IF($D$9="Monthly",1/12,1))</f>
        <v>94.966666666665</v>
      </c>
      <c r="D435" s="231" t="n">
        <f aca="false">IF(L434&lt;&gt;1, IF(G434&lt;E434,0,D434),IF(L434=1,IFERROR(ROUND(IF($G434 - (E434 * 6) &lt; 0, D434, ($G434 - (E434 * 6)) * $D$8 / 12),2),0) ) )</f>
        <v>4.29</v>
      </c>
      <c r="E435" s="231" t="n">
        <f aca="false">IF(ISERROR(A435), 0,  MAX(0,   MIN(    ROUND(G434 + D435, 2),    ROUND(FV($S$5, IF(type=1, A435, A434), , IF(J435&lt;&gt;1, -$D$20, -$P$16 + P435), 2), 0)   )  ) )</f>
        <v>37</v>
      </c>
      <c r="F435" s="231" t="n">
        <f aca="false">IF(J435&lt;&gt;1, "", IF(J434&lt;&gt;0, F434, $K$12))</f>
        <v>1</v>
      </c>
      <c r="G435" s="232" t="n">
        <f aca="false">IF(ISERROR(A435),"",ROUND(G434-E435+D435,2))</f>
        <v>985.87</v>
      </c>
      <c r="H435" s="237" t="n">
        <f aca="false">IF(G435&gt;0,IFERROR(H434+(H434*($D$16/12)),""),"")</f>
        <v>36.2427120499614</v>
      </c>
      <c r="I435" s="223" t="n">
        <f aca="false">IF(ISERROR(A436),"",12 - MONTH(B435))</f>
        <v>4</v>
      </c>
      <c r="J435" s="224" t="n">
        <f aca="false">K435</f>
        <v>1</v>
      </c>
      <c r="K435" s="225" t="n">
        <f aca="false">_xlfn.IFNA(IF(B435&gt;=$K$11, 1,0),0)</f>
        <v>1</v>
      </c>
      <c r="L435" s="60" t="str">
        <f aca="false">IF(I435=0,1,"")</f>
        <v/>
      </c>
      <c r="P435" s="4" t="n">
        <f aca="false">IF(AND(G435&gt;E435, A435&lt;&gt;0, V435&lt;&gt;0), $N$5 * ($P$22 ^ V435 - 1), 0)</f>
        <v>0</v>
      </c>
      <c r="V435" s="71" t="n">
        <f aca="false">IF(B435&lt;EDATE($K$11,12), 0,  DATEDIF(EDATE($K$11,12), B435 + 1, "y") + 1 )</f>
        <v>29</v>
      </c>
    </row>
    <row r="436" customFormat="false" ht="12.75" hidden="false" customHeight="true" outlineLevel="0" collapsed="false">
      <c r="A436" s="228" t="n">
        <f aca="false">IF(OR(G435="",G435&lt;=0,C435&gt;150),NA(),A435+1)</f>
        <v>408</v>
      </c>
      <c r="B436" s="229" t="n">
        <f aca="false">IF(ISERROR(A436),"",IF($D$9="Annually",EDATE(B435,12),EDATE(B435,1)))</f>
        <v>58712</v>
      </c>
      <c r="C436" s="230" t="n">
        <f aca="false">IF(ISERROR(A436),"",C435+IF($D$9="Monthly",1/12,1))</f>
        <v>95.0499999999983</v>
      </c>
      <c r="D436" s="231" t="n">
        <f aca="false">IF(L435&lt;&gt;1, IF(G435&lt;E435,0,D435),IF(L435=1,IFERROR(ROUND(IF($G435 - (E435 * 6) &lt; 0, D435, ($G435 - (E435 * 6)) * $D$8 / 12),2),0) ) )</f>
        <v>4.29</v>
      </c>
      <c r="E436" s="231" t="n">
        <f aca="false">IF(ISERROR(A436), 0,  MAX(0,   MIN(    ROUND(G435 + D436, 2),    ROUND(FV($S$5, IF(type=1, A436, A435), , IF(J436&lt;&gt;1, -$D$20, -$P$16 + P436), 2), 0)   )  ) )</f>
        <v>37</v>
      </c>
      <c r="F436" s="231" t="n">
        <f aca="false">IF(J436&lt;&gt;1, "", IF(J435&lt;&gt;0, F435, $K$12))</f>
        <v>1</v>
      </c>
      <c r="G436" s="232" t="n">
        <f aca="false">IF(ISERROR(A436),"",ROUND(G435-E436+D436,2))</f>
        <v>953.16</v>
      </c>
      <c r="H436" s="237" t="n">
        <f aca="false">IF(G436&gt;0,IFERROR(H435+(H435*($D$16/12)),""),"")</f>
        <v>36.3031165700447</v>
      </c>
      <c r="I436" s="223" t="n">
        <f aca="false">IF(ISERROR(A437),"",12 - MONTH(B436))</f>
        <v>3</v>
      </c>
      <c r="J436" s="224" t="n">
        <f aca="false">K436</f>
        <v>1</v>
      </c>
      <c r="K436" s="225" t="n">
        <f aca="false">_xlfn.IFNA(IF(B436&gt;=$K$11, 1,0),0)</f>
        <v>1</v>
      </c>
      <c r="L436" s="60" t="str">
        <f aca="false">IF(I436=0,1,"")</f>
        <v/>
      </c>
      <c r="P436" s="4" t="n">
        <f aca="false">IF(AND(G436&gt;E436, A436&lt;&gt;0, V436&lt;&gt;0), $N$5 * ($P$22 ^ V436 - 1), 0)</f>
        <v>0</v>
      </c>
      <c r="V436" s="71" t="n">
        <f aca="false">IF(B436&lt;EDATE($K$11,12), 0,  DATEDIF(EDATE($K$11,12), B436 + 1, "y") + 1 )</f>
        <v>29</v>
      </c>
    </row>
    <row r="437" customFormat="false" ht="12.75" hidden="false" customHeight="true" outlineLevel="0" collapsed="false">
      <c r="A437" s="228" t="n">
        <f aca="false">IF(OR(G436="",G436&lt;=0,C436&gt;150),NA(),A436+1)</f>
        <v>409</v>
      </c>
      <c r="B437" s="229" t="n">
        <f aca="false">IF(ISERROR(A437),"",IF($D$9="Annually",EDATE(B436,12),EDATE(B436,1)))</f>
        <v>58742</v>
      </c>
      <c r="C437" s="230" t="n">
        <f aca="false">IF(ISERROR(A437),"",C436+IF($D$9="Monthly",1/12,1))</f>
        <v>95.1333333333317</v>
      </c>
      <c r="D437" s="231" t="n">
        <f aca="false">IF(L436&lt;&gt;1, IF(G436&lt;E436,0,D436),IF(L436=1,IFERROR(ROUND(IF($G436 - (E436 * 6) &lt; 0, D436, ($G436 - (E436 * 6)) * $D$8 / 12),2),0) ) )</f>
        <v>4.29</v>
      </c>
      <c r="E437" s="231" t="n">
        <f aca="false">IF(ISERROR(A437), 0,  MAX(0,   MIN(    ROUND(G436 + D437, 2),    ROUND(FV($S$5, IF(type=1, A437, A436), , IF(J437&lt;&gt;1, -$D$20, -$P$16 + P437), 2), 0)   )  ) )</f>
        <v>37</v>
      </c>
      <c r="F437" s="231" t="n">
        <f aca="false">IF(J437&lt;&gt;1, "", IF(J436&lt;&gt;0, F436, $K$12))</f>
        <v>1</v>
      </c>
      <c r="G437" s="232" t="n">
        <f aca="false">IF(ISERROR(A437),"",ROUND(G436-E437+D437,2))</f>
        <v>920.45</v>
      </c>
      <c r="H437" s="237" t="n">
        <f aca="false">IF(G437&gt;0,IFERROR(H436+(H436*($D$16/12)),""),"")</f>
        <v>36.3636217643281</v>
      </c>
      <c r="I437" s="223" t="n">
        <f aca="false">IF(ISERROR(A438),"",12 - MONTH(B437))</f>
        <v>2</v>
      </c>
      <c r="J437" s="224" t="n">
        <f aca="false">K437</f>
        <v>1</v>
      </c>
      <c r="K437" s="225" t="n">
        <f aca="false">_xlfn.IFNA(IF(B437&gt;=$K$11, 1,0),0)</f>
        <v>1</v>
      </c>
      <c r="L437" s="60" t="str">
        <f aca="false">IF(I437=0,1,"")</f>
        <v/>
      </c>
      <c r="P437" s="4" t="n">
        <f aca="false">IF(AND(G437&gt;E437, A437&lt;&gt;0, V437&lt;&gt;0), $N$5 * ($P$22 ^ V437 - 1), 0)</f>
        <v>0</v>
      </c>
      <c r="V437" s="71" t="n">
        <f aca="false">IF(B437&lt;EDATE($K$11,12), 0,  DATEDIF(EDATE($K$11,12), B437 + 1, "y") + 1 )</f>
        <v>29</v>
      </c>
    </row>
    <row r="438" customFormat="false" ht="12.75" hidden="false" customHeight="true" outlineLevel="0" collapsed="false">
      <c r="A438" s="228" t="n">
        <f aca="false">IF(OR(G437="",G437&lt;=0,C437&gt;150),NA(),A437+1)</f>
        <v>410</v>
      </c>
      <c r="B438" s="229" t="n">
        <f aca="false">IF(ISERROR(A438),"",IF($D$9="Annually",EDATE(B437,12),EDATE(B437,1)))</f>
        <v>58773</v>
      </c>
      <c r="C438" s="230" t="n">
        <f aca="false">IF(ISERROR(A438),"",C437+IF($D$9="Monthly",1/12,1))</f>
        <v>95.216666666665</v>
      </c>
      <c r="D438" s="231" t="n">
        <f aca="false">IF(L437&lt;&gt;1, IF(G437&lt;E437,0,D437),IF(L437=1,IFERROR(ROUND(IF($G437 - (E437 * 6) &lt; 0, D437, ($G437 - (E437 * 6)) * $D$8 / 12),2),0) ) )</f>
        <v>4.29</v>
      </c>
      <c r="E438" s="231" t="n">
        <f aca="false">IF(ISERROR(A438), 0,  MAX(0,   MIN(    ROUND(G437 + D438, 2),    ROUND(FV($S$5, IF(type=1, A438, A437), , IF(J438&lt;&gt;1, -$D$20, -$P$16 + P438), 2), 0)   )  ) )</f>
        <v>37</v>
      </c>
      <c r="F438" s="231" t="n">
        <f aca="false">IF(J438&lt;&gt;1, "", IF(J437&lt;&gt;0, F437, $K$12))</f>
        <v>1</v>
      </c>
      <c r="G438" s="232" t="n">
        <f aca="false">IF(ISERROR(A438),"",ROUND(G437-E438+D438,2))</f>
        <v>887.74</v>
      </c>
      <c r="H438" s="237" t="n">
        <f aca="false">IF(G438&gt;0,IFERROR(H437+(H437*($D$16/12)),""),"")</f>
        <v>36.424227800602</v>
      </c>
      <c r="I438" s="223" t="n">
        <f aca="false">IF(ISERROR(A439),"",12 - MONTH(B438))</f>
        <v>1</v>
      </c>
      <c r="J438" s="224" t="n">
        <f aca="false">K438</f>
        <v>1</v>
      </c>
      <c r="K438" s="225" t="n">
        <f aca="false">_xlfn.IFNA(IF(B438&gt;=$K$11, 1,0),0)</f>
        <v>1</v>
      </c>
      <c r="L438" s="60" t="str">
        <f aca="false">IF(I438=0,1,"")</f>
        <v/>
      </c>
      <c r="P438" s="4" t="n">
        <f aca="false">IF(AND(G438&gt;E438, A438&lt;&gt;0, V438&lt;&gt;0), $N$5 * ($P$22 ^ V438 - 1), 0)</f>
        <v>0</v>
      </c>
      <c r="V438" s="71" t="n">
        <f aca="false">IF(B438&lt;EDATE($K$11,12), 0,  DATEDIF(EDATE($K$11,12), B438 + 1, "y") + 1 )</f>
        <v>29</v>
      </c>
    </row>
    <row r="439" customFormat="false" ht="12.75" hidden="false" customHeight="true" outlineLevel="0" collapsed="false">
      <c r="A439" s="228" t="n">
        <f aca="false">IF(OR(G438="",G438&lt;=0,C438&gt;150),NA(),A438+1)</f>
        <v>411</v>
      </c>
      <c r="B439" s="229" t="n">
        <f aca="false">IF(ISERROR(A439),"",IF($D$9="Annually",EDATE(B438,12),EDATE(B438,1)))</f>
        <v>58803</v>
      </c>
      <c r="C439" s="230" t="n">
        <f aca="false">IF(ISERROR(A439),"",C438+IF($D$9="Monthly",1/12,1))</f>
        <v>95.2999999999983</v>
      </c>
      <c r="D439" s="231" t="n">
        <f aca="false">IF(L438&lt;&gt;1, IF(G438&lt;E438,0,D438),IF(L438=1,IFERROR(ROUND(IF($G438 - (E438 * 6) &lt; 0, D438, ($G438 - (E438 * 6)) * $D$8 / 12),2),0) ) )</f>
        <v>4.29</v>
      </c>
      <c r="E439" s="231" t="n">
        <f aca="false">IF(ISERROR(A439), 0,  MAX(0,   MIN(    ROUND(G438 + D439, 2),    ROUND(FV($S$5, IF(type=1, A439, A438), , IF(J439&lt;&gt;1, -$D$20, -$P$16 + P439), 2), 0)   )  ) )</f>
        <v>37</v>
      </c>
      <c r="F439" s="231" t="n">
        <f aca="false">IF(J439&lt;&gt;1, "", IF(J438&lt;&gt;0, F438, $K$12))</f>
        <v>1</v>
      </c>
      <c r="G439" s="232" t="n">
        <f aca="false">IF(ISERROR(A439),"",ROUND(G438-E439+D439,2))</f>
        <v>855.03</v>
      </c>
      <c r="H439" s="237" t="n">
        <f aca="false">IF(G439&gt;0,IFERROR(H438+(H438*($D$16/12)),""),"")</f>
        <v>36.4849348469363</v>
      </c>
      <c r="I439" s="223" t="n">
        <f aca="false">IF(ISERROR(A440),"",12 - MONTH(B439))</f>
        <v>0</v>
      </c>
      <c r="J439" s="224" t="n">
        <f aca="false">K439</f>
        <v>1</v>
      </c>
      <c r="K439" s="225" t="n">
        <f aca="false">_xlfn.IFNA(IF(B439&gt;=$K$11, 1,0),0)</f>
        <v>1</v>
      </c>
      <c r="L439" s="60" t="n">
        <f aca="false">IF(I439=0,1,"")</f>
        <v>1</v>
      </c>
      <c r="P439" s="4" t="n">
        <f aca="false">IF(AND(G439&gt;E439, A439&lt;&gt;0, V439&lt;&gt;0), $N$5 * ($P$22 ^ V439 - 1), 0)</f>
        <v>0</v>
      </c>
      <c r="V439" s="71" t="n">
        <f aca="false">IF(B439&lt;EDATE($K$11,12), 0,  DATEDIF(EDATE($K$11,12), B439 + 1, "y") + 1 )</f>
        <v>29</v>
      </c>
    </row>
    <row r="440" customFormat="false" ht="12.75" hidden="false" customHeight="true" outlineLevel="0" collapsed="false">
      <c r="A440" s="228" t="n">
        <f aca="false">IF(OR(G439="",G439&lt;=0,C439&gt;150),NA(),A439+1)</f>
        <v>412</v>
      </c>
      <c r="B440" s="229" t="n">
        <f aca="false">IF(ISERROR(A440),"",IF($D$9="Annually",EDATE(B439,12),EDATE(B439,1)))</f>
        <v>58834</v>
      </c>
      <c r="C440" s="230" t="n">
        <f aca="false">IF(ISERROR(A440),"",C439+IF($D$9="Monthly",1/12,1))</f>
        <v>95.3833333333316</v>
      </c>
      <c r="D440" s="231" t="n">
        <f aca="false">IF(L439&lt;&gt;1, IF(G439&lt;E439,0,D439),IF(L439=1,IFERROR(ROUND(IF($G439 - (E439 * 6) &lt; 0, D439, ($G439 - (E439 * 6)) * $D$8 / 12),2),0) ) )</f>
        <v>2.64</v>
      </c>
      <c r="E440" s="231" t="n">
        <f aca="false">IF(ISERROR(A440), 0,  MAX(0,   MIN(    ROUND(G439 + D440, 2),    ROUND(FV($S$5, IF(type=1, A440, A439), , IF(J440&lt;&gt;1, -$D$20, -$P$16 + P440), 2), 0)   )  ) )</f>
        <v>37</v>
      </c>
      <c r="F440" s="231" t="n">
        <f aca="false">IF(J440&lt;&gt;1, "", IF(J439&lt;&gt;0, F439, $K$12))</f>
        <v>1</v>
      </c>
      <c r="G440" s="232" t="n">
        <f aca="false">IF(ISERROR(A440),"",ROUND(G439-E440+D440,2))</f>
        <v>820.67</v>
      </c>
      <c r="H440" s="237" t="n">
        <f aca="false">IF(G440&gt;0,IFERROR(H439+(H439*($D$16/12)),""),"")</f>
        <v>36.5457430716812</v>
      </c>
      <c r="I440" s="223" t="n">
        <f aca="false">IF(ISERROR(A441),"",12 - MONTH(B440))</f>
        <v>11</v>
      </c>
      <c r="J440" s="224" t="n">
        <f aca="false">K440</f>
        <v>1</v>
      </c>
      <c r="K440" s="225" t="n">
        <f aca="false">_xlfn.IFNA(IF(B440&gt;=$K$11, 1,0),0)</f>
        <v>1</v>
      </c>
      <c r="L440" s="60" t="str">
        <f aca="false">IF(I440=0,1,"")</f>
        <v/>
      </c>
      <c r="P440" s="4" t="n">
        <f aca="false">IF(AND(G440&gt;E440, A440&lt;&gt;0, V440&lt;&gt;0), $N$5 * ($P$22 ^ V440 - 1), 0)</f>
        <v>0</v>
      </c>
      <c r="V440" s="71" t="n">
        <f aca="false">IF(B440&lt;EDATE($K$11,12), 0,  DATEDIF(EDATE($K$11,12), B440 + 1, "y") + 1 )</f>
        <v>30</v>
      </c>
    </row>
    <row r="441" customFormat="false" ht="12.75" hidden="false" customHeight="true" outlineLevel="0" collapsed="false">
      <c r="A441" s="228" t="n">
        <f aca="false">IF(OR(G440="",G440&lt;=0,C440&gt;150),NA(),A440+1)</f>
        <v>413</v>
      </c>
      <c r="B441" s="229" t="n">
        <f aca="false">IF(ISERROR(A441),"",IF($D$9="Annually",EDATE(B440,12),EDATE(B440,1)))</f>
        <v>58865</v>
      </c>
      <c r="C441" s="230" t="n">
        <f aca="false">IF(ISERROR(A441),"",C440+IF($D$9="Monthly",1/12,1))</f>
        <v>95.466666666665</v>
      </c>
      <c r="D441" s="231" t="n">
        <f aca="false">IF(L440&lt;&gt;1, IF(G440&lt;E440,0,D440),IF(L440=1,IFERROR(ROUND(IF($G440 - (E440 * 6) &lt; 0, D440, ($G440 - (E440 * 6)) * $D$8 / 12),2),0) ) )</f>
        <v>2.64</v>
      </c>
      <c r="E441" s="231" t="n">
        <f aca="false">IF(ISERROR(A441), 0,  MAX(0,   MIN(    ROUND(G440 + D441, 2),    ROUND(FV($S$5, IF(type=1, A441, A440), , IF(J441&lt;&gt;1, -$D$20, -$P$16 + P441), 2), 0)   )  ) )</f>
        <v>37</v>
      </c>
      <c r="F441" s="231" t="n">
        <f aca="false">IF(J441&lt;&gt;1, "", IF(J440&lt;&gt;0, F440, $K$12))</f>
        <v>1</v>
      </c>
      <c r="G441" s="232" t="n">
        <f aca="false">IF(ISERROR(A441),"",ROUND(G440-E441+D441,2))</f>
        <v>786.31</v>
      </c>
      <c r="H441" s="237" t="n">
        <f aca="false">IF(G441&gt;0,IFERROR(H440+(H440*($D$16/12)),""),"")</f>
        <v>36.6066526434673</v>
      </c>
      <c r="I441" s="223" t="n">
        <f aca="false">IF(ISERROR(A442),"",12 - MONTH(B441))</f>
        <v>10</v>
      </c>
      <c r="J441" s="224" t="n">
        <f aca="false">K441</f>
        <v>1</v>
      </c>
      <c r="K441" s="225" t="n">
        <f aca="false">_xlfn.IFNA(IF(B441&gt;=$K$11, 1,0),0)</f>
        <v>1</v>
      </c>
      <c r="L441" s="60" t="str">
        <f aca="false">IF(I441=0,1,"")</f>
        <v/>
      </c>
      <c r="P441" s="4" t="n">
        <f aca="false">IF(AND(G441&gt;E441, A441&lt;&gt;0, V441&lt;&gt;0), $N$5 * ($P$22 ^ V441 - 1), 0)</f>
        <v>0</v>
      </c>
      <c r="V441" s="71" t="n">
        <f aca="false">IF(B441&lt;EDATE($K$11,12), 0,  DATEDIF(EDATE($K$11,12), B441 + 1, "y") + 1 )</f>
        <v>30</v>
      </c>
    </row>
    <row r="442" customFormat="false" ht="12.75" hidden="false" customHeight="true" outlineLevel="0" collapsed="false">
      <c r="A442" s="228" t="n">
        <f aca="false">IF(OR(G441="",G441&lt;=0,C441&gt;150),NA(),A441+1)</f>
        <v>414</v>
      </c>
      <c r="B442" s="229" t="n">
        <f aca="false">IF(ISERROR(A442),"",IF($D$9="Annually",EDATE(B441,12),EDATE(B441,1)))</f>
        <v>58893</v>
      </c>
      <c r="C442" s="230" t="n">
        <f aca="false">IF(ISERROR(A442),"",C441+IF($D$9="Monthly",1/12,1))</f>
        <v>95.5499999999983</v>
      </c>
      <c r="D442" s="231" t="n">
        <f aca="false">IF(L441&lt;&gt;1, IF(G441&lt;E441,0,D441),IF(L441=1,IFERROR(ROUND(IF($G441 - (E441 * 6) &lt; 0, D441, ($G441 - (E441 * 6)) * $D$8 / 12),2),0) ) )</f>
        <v>2.64</v>
      </c>
      <c r="E442" s="231" t="n">
        <f aca="false">IF(ISERROR(A442), 0,  MAX(0,   MIN(    ROUND(G441 + D442, 2),    ROUND(FV($S$5, IF(type=1, A442, A441), , IF(J442&lt;&gt;1, -$D$20, -$P$16 + P442), 2), 0)   )  ) )</f>
        <v>37</v>
      </c>
      <c r="F442" s="231" t="n">
        <f aca="false">IF(J442&lt;&gt;1, "", IF(J441&lt;&gt;0, F441, $K$12))</f>
        <v>1</v>
      </c>
      <c r="G442" s="232" t="n">
        <f aca="false">IF(ISERROR(A442),"",ROUND(G441-E442+D442,2))</f>
        <v>751.95</v>
      </c>
      <c r="H442" s="237" t="n">
        <f aca="false">IF(G442&gt;0,IFERROR(H441+(H441*($D$16/12)),""),"")</f>
        <v>36.6676637312064</v>
      </c>
      <c r="I442" s="223" t="n">
        <f aca="false">IF(ISERROR(A443),"",12 - MONTH(B442))</f>
        <v>9</v>
      </c>
      <c r="J442" s="224" t="n">
        <f aca="false">K442</f>
        <v>1</v>
      </c>
      <c r="K442" s="225" t="n">
        <f aca="false">_xlfn.IFNA(IF(B442&gt;=$K$11, 1,0),0)</f>
        <v>1</v>
      </c>
      <c r="L442" s="60" t="str">
        <f aca="false">IF(I442=0,1,"")</f>
        <v/>
      </c>
      <c r="P442" s="4" t="n">
        <f aca="false">IF(AND(G442&gt;E442, A442&lt;&gt;0, V442&lt;&gt;0), $N$5 * ($P$22 ^ V442 - 1), 0)</f>
        <v>0</v>
      </c>
      <c r="V442" s="71" t="n">
        <f aca="false">IF(B442&lt;EDATE($K$11,12), 0,  DATEDIF(EDATE($K$11,12), B442 + 1, "y") + 1 )</f>
        <v>30</v>
      </c>
    </row>
    <row r="443" customFormat="false" ht="12.75" hidden="false" customHeight="true" outlineLevel="0" collapsed="false">
      <c r="A443" s="228" t="n">
        <f aca="false">IF(OR(G442="",G442&lt;=0,C442&gt;150),NA(),A442+1)</f>
        <v>415</v>
      </c>
      <c r="B443" s="229" t="n">
        <f aca="false">IF(ISERROR(A443),"",IF($D$9="Annually",EDATE(B442,12),EDATE(B442,1)))</f>
        <v>58924</v>
      </c>
      <c r="C443" s="230" t="n">
        <f aca="false">IF(ISERROR(A443),"",C442+IF($D$9="Monthly",1/12,1))</f>
        <v>95.6333333333316</v>
      </c>
      <c r="D443" s="231" t="n">
        <f aca="false">IF(L442&lt;&gt;1, IF(G442&lt;E442,0,D442),IF(L442=1,IFERROR(ROUND(IF($G442 - (E442 * 6) &lt; 0, D442, ($G442 - (E442 * 6)) * $D$8 / 12),2),0) ) )</f>
        <v>2.64</v>
      </c>
      <c r="E443" s="231" t="n">
        <f aca="false">IF(ISERROR(A443), 0,  MAX(0,   MIN(    ROUND(G442 + D443, 2),    ROUND(FV($S$5, IF(type=1, A443, A442), , IF(J443&lt;&gt;1, -$D$20, -$P$16 + P443), 2), 0)   )  ) )</f>
        <v>37</v>
      </c>
      <c r="F443" s="231" t="n">
        <f aca="false">IF(J443&lt;&gt;1, "", IF(J442&lt;&gt;0, F442, $K$12))</f>
        <v>1</v>
      </c>
      <c r="G443" s="232" t="n">
        <f aca="false">IF(ISERROR(A443),"",ROUND(G442-E443+D443,2))</f>
        <v>717.59</v>
      </c>
      <c r="H443" s="237" t="n">
        <f aca="false">IF(G443&gt;0,IFERROR(H442+(H442*($D$16/12)),""),"")</f>
        <v>36.7287765040918</v>
      </c>
      <c r="I443" s="223" t="n">
        <f aca="false">IF(ISERROR(A444),"",12 - MONTH(B443))</f>
        <v>8</v>
      </c>
      <c r="J443" s="224" t="n">
        <f aca="false">K443</f>
        <v>1</v>
      </c>
      <c r="K443" s="225" t="n">
        <f aca="false">_xlfn.IFNA(IF(B443&gt;=$K$11, 1,0),0)</f>
        <v>1</v>
      </c>
      <c r="L443" s="60" t="str">
        <f aca="false">IF(I443=0,1,"")</f>
        <v/>
      </c>
      <c r="P443" s="4" t="n">
        <f aca="false">IF(AND(G443&gt;E443, A443&lt;&gt;0, V443&lt;&gt;0), $N$5 * ($P$22 ^ V443 - 1), 0)</f>
        <v>0</v>
      </c>
      <c r="V443" s="71" t="n">
        <f aca="false">IF(B443&lt;EDATE($K$11,12), 0,  DATEDIF(EDATE($K$11,12), B443 + 1, "y") + 1 )</f>
        <v>30</v>
      </c>
    </row>
    <row r="444" customFormat="false" ht="12.75" hidden="false" customHeight="true" outlineLevel="0" collapsed="false">
      <c r="A444" s="228" t="n">
        <f aca="false">IF(OR(G443="",G443&lt;=0,C443&gt;150),NA(),A443+1)</f>
        <v>416</v>
      </c>
      <c r="B444" s="229" t="n">
        <f aca="false">IF(ISERROR(A444),"",IF($D$9="Annually",EDATE(B443,12),EDATE(B443,1)))</f>
        <v>58954</v>
      </c>
      <c r="C444" s="230" t="n">
        <f aca="false">IF(ISERROR(A444),"",C443+IF($D$9="Monthly",1/12,1))</f>
        <v>95.716666666665</v>
      </c>
      <c r="D444" s="231" t="n">
        <f aca="false">IF(L443&lt;&gt;1, IF(G443&lt;E443,0,D443),IF(L443=1,IFERROR(ROUND(IF($G443 - (E443 * 6) &lt; 0, D443, ($G443 - (E443 * 6)) * $D$8 / 12),2),0) ) )</f>
        <v>2.64</v>
      </c>
      <c r="E444" s="231" t="n">
        <f aca="false">IF(ISERROR(A444), 0,  MAX(0,   MIN(    ROUND(G443 + D444, 2),    ROUND(FV($S$5, IF(type=1, A444, A443), , IF(J444&lt;&gt;1, -$D$20, -$P$16 + P444), 2), 0)   )  ) )</f>
        <v>37</v>
      </c>
      <c r="F444" s="231" t="n">
        <f aca="false">IF(J444&lt;&gt;1, "", IF(J443&lt;&gt;0, F443, $K$12))</f>
        <v>1</v>
      </c>
      <c r="G444" s="232" t="n">
        <f aca="false">IF(ISERROR(A444),"",ROUND(G443-E444+D444,2))</f>
        <v>683.23</v>
      </c>
      <c r="H444" s="237" t="n">
        <f aca="false">IF(G444&gt;0,IFERROR(H443+(H443*($D$16/12)),""),"")</f>
        <v>36.7899911315986</v>
      </c>
      <c r="I444" s="223" t="n">
        <f aca="false">IF(ISERROR(A445),"",12 - MONTH(B444))</f>
        <v>7</v>
      </c>
      <c r="J444" s="224" t="n">
        <f aca="false">K444</f>
        <v>1</v>
      </c>
      <c r="K444" s="225" t="n">
        <f aca="false">_xlfn.IFNA(IF(B444&gt;=$K$11, 1,0),0)</f>
        <v>1</v>
      </c>
      <c r="L444" s="60" t="str">
        <f aca="false">IF(I444=0,1,"")</f>
        <v/>
      </c>
      <c r="P444" s="4" t="n">
        <f aca="false">IF(AND(G444&gt;E444, A444&lt;&gt;0, V444&lt;&gt;0), $N$5 * ($P$22 ^ V444 - 1), 0)</f>
        <v>0</v>
      </c>
      <c r="V444" s="71" t="n">
        <f aca="false">IF(B444&lt;EDATE($K$11,12), 0,  DATEDIF(EDATE($K$11,12), B444 + 1, "y") + 1 )</f>
        <v>30</v>
      </c>
    </row>
    <row r="445" customFormat="false" ht="12.75" hidden="false" customHeight="true" outlineLevel="0" collapsed="false">
      <c r="A445" s="228" t="n">
        <f aca="false">IF(OR(G444="",G444&lt;=0,C444&gt;150),NA(),A444+1)</f>
        <v>417</v>
      </c>
      <c r="B445" s="229" t="n">
        <f aca="false">IF(ISERROR(A445),"",IF($D$9="Annually",EDATE(B444,12),EDATE(B444,1)))</f>
        <v>58985</v>
      </c>
      <c r="C445" s="230" t="n">
        <f aca="false">IF(ISERROR(A445),"",C444+IF($D$9="Monthly",1/12,1))</f>
        <v>95.7999999999983</v>
      </c>
      <c r="D445" s="231" t="n">
        <f aca="false">IF(L444&lt;&gt;1, IF(G444&lt;E444,0,D444),IF(L444=1,IFERROR(ROUND(IF($G444 - (E444 * 6) &lt; 0, D444, ($G444 - (E444 * 6)) * $D$8 / 12),2),0) ) )</f>
        <v>2.64</v>
      </c>
      <c r="E445" s="231" t="n">
        <f aca="false">IF(ISERROR(A445), 0,  MAX(0,   MIN(    ROUND(G444 + D445, 2),    ROUND(FV($S$5, IF(type=1, A445, A444), , IF(J445&lt;&gt;1, -$D$20, -$P$16 + P445), 2), 0)   )  ) )</f>
        <v>38</v>
      </c>
      <c r="F445" s="231" t="n">
        <f aca="false">IF(J445&lt;&gt;1, "", IF(J444&lt;&gt;0, F444, $K$12))</f>
        <v>1</v>
      </c>
      <c r="G445" s="232" t="n">
        <f aca="false">IF(ISERROR(A445),"",ROUND(G444-E445+D445,2))</f>
        <v>647.87</v>
      </c>
      <c r="H445" s="237" t="n">
        <f aca="false">IF(G445&gt;0,IFERROR(H444+(H444*($D$16/12)),""),"")</f>
        <v>36.8513077834846</v>
      </c>
      <c r="I445" s="223" t="n">
        <f aca="false">IF(ISERROR(A446),"",12 - MONTH(B445))</f>
        <v>6</v>
      </c>
      <c r="J445" s="224" t="n">
        <f aca="false">K445</f>
        <v>1</v>
      </c>
      <c r="K445" s="225" t="n">
        <f aca="false">_xlfn.IFNA(IF(B445&gt;=$K$11, 1,0),0)</f>
        <v>1</v>
      </c>
      <c r="L445" s="60" t="str">
        <f aca="false">IF(I445=0,1,"")</f>
        <v/>
      </c>
      <c r="P445" s="4" t="n">
        <f aca="false">IF(AND(G445&gt;E445, A445&lt;&gt;0, V445&lt;&gt;0), $N$5 * ($P$22 ^ V445 - 1), 0)</f>
        <v>0</v>
      </c>
      <c r="V445" s="71" t="n">
        <f aca="false">IF(B445&lt;EDATE($K$11,12), 0,  DATEDIF(EDATE($K$11,12), B445 + 1, "y") + 1 )</f>
        <v>30</v>
      </c>
    </row>
    <row r="446" customFormat="false" ht="12.75" hidden="false" customHeight="true" outlineLevel="0" collapsed="false">
      <c r="A446" s="228" t="n">
        <f aca="false">IF(OR(G445="",G445&lt;=0,C445&gt;150),NA(),A445+1)</f>
        <v>418</v>
      </c>
      <c r="B446" s="229" t="n">
        <f aca="false">IF(ISERROR(A446),"",IF($D$9="Annually",EDATE(B445,12),EDATE(B445,1)))</f>
        <v>59015</v>
      </c>
      <c r="C446" s="230" t="n">
        <f aca="false">IF(ISERROR(A446),"",C445+IF($D$9="Monthly",1/12,1))</f>
        <v>95.8833333333316</v>
      </c>
      <c r="D446" s="231" t="n">
        <f aca="false">IF(L445&lt;&gt;1, IF(G445&lt;E445,0,D445),IF(L445=1,IFERROR(ROUND(IF($G445 - (E445 * 6) &lt; 0, D445, ($G445 - (E445 * 6)) * $D$8 / 12),2),0) ) )</f>
        <v>2.64</v>
      </c>
      <c r="E446" s="231" t="n">
        <f aca="false">IF(ISERROR(A446), 0,  MAX(0,   MIN(    ROUND(G445 + D446, 2),    ROUND(FV($S$5, IF(type=1, A446, A445), , IF(J446&lt;&gt;1, -$D$20, -$P$16 + P446), 2), 0)   )  ) )</f>
        <v>38</v>
      </c>
      <c r="F446" s="231" t="n">
        <f aca="false">IF(J446&lt;&gt;1, "", IF(J445&lt;&gt;0, F445, $K$12))</f>
        <v>1</v>
      </c>
      <c r="G446" s="232" t="n">
        <f aca="false">IF(ISERROR(A446),"",ROUND(G445-E446+D446,2))</f>
        <v>612.51</v>
      </c>
      <c r="H446" s="237" t="n">
        <f aca="false">IF(G446&gt;0,IFERROR(H445+(H445*($D$16/12)),""),"")</f>
        <v>36.9127266297904</v>
      </c>
      <c r="I446" s="223" t="n">
        <f aca="false">IF(ISERROR(A447),"",12 - MONTH(B446))</f>
        <v>5</v>
      </c>
      <c r="J446" s="224" t="n">
        <f aca="false">K446</f>
        <v>1</v>
      </c>
      <c r="K446" s="225" t="n">
        <f aca="false">_xlfn.IFNA(IF(B446&gt;=$K$11, 1,0),0)</f>
        <v>1</v>
      </c>
      <c r="L446" s="60" t="str">
        <f aca="false">IF(I446=0,1,"")</f>
        <v/>
      </c>
      <c r="P446" s="4" t="n">
        <f aca="false">IF(AND(G446&gt;E446, A446&lt;&gt;0, V446&lt;&gt;0), $N$5 * ($P$22 ^ V446 - 1), 0)</f>
        <v>0</v>
      </c>
      <c r="V446" s="71" t="n">
        <f aca="false">IF(B446&lt;EDATE($K$11,12), 0,  DATEDIF(EDATE($K$11,12), B446 + 1, "y") + 1 )</f>
        <v>30</v>
      </c>
    </row>
    <row r="447" customFormat="false" ht="12.75" hidden="false" customHeight="true" outlineLevel="0" collapsed="false">
      <c r="A447" s="228" t="n">
        <f aca="false">IF(OR(G446="",G446&lt;=0,C446&gt;150),NA(),A446+1)</f>
        <v>419</v>
      </c>
      <c r="B447" s="229" t="n">
        <f aca="false">IF(ISERROR(A447),"",IF($D$9="Annually",EDATE(B446,12),EDATE(B446,1)))</f>
        <v>59046</v>
      </c>
      <c r="C447" s="230" t="n">
        <f aca="false">IF(ISERROR(A447),"",C446+IF($D$9="Monthly",1/12,1))</f>
        <v>95.9666666666649</v>
      </c>
      <c r="D447" s="231" t="n">
        <f aca="false">IF(L446&lt;&gt;1, IF(G446&lt;E446,0,D446),IF(L446=1,IFERROR(ROUND(IF($G446 - (E446 * 6) &lt; 0, D446, ($G446 - (E446 * 6)) * $D$8 / 12),2),0) ) )</f>
        <v>2.64</v>
      </c>
      <c r="E447" s="231" t="n">
        <f aca="false">IF(ISERROR(A447), 0,  MAX(0,   MIN(    ROUND(G446 + D447, 2),    ROUND(FV($S$5, IF(type=1, A447, A446), , IF(J447&lt;&gt;1, -$D$20, -$P$16 + P447), 2), 0)   )  ) )</f>
        <v>38</v>
      </c>
      <c r="F447" s="231" t="n">
        <f aca="false">IF(J447&lt;&gt;1, "", IF(J446&lt;&gt;0, F446, $K$12))</f>
        <v>1</v>
      </c>
      <c r="G447" s="232" t="n">
        <f aca="false">IF(ISERROR(A447),"",ROUND(G446-E447+D447,2))</f>
        <v>577.15</v>
      </c>
      <c r="H447" s="237" t="n">
        <f aca="false">IF(G447&gt;0,IFERROR(H446+(H446*($D$16/12)),""),"")</f>
        <v>36.9742478408401</v>
      </c>
      <c r="I447" s="223" t="n">
        <f aca="false">IF(ISERROR(A448),"",12 - MONTH(B447))</f>
        <v>4</v>
      </c>
      <c r="J447" s="224" t="n">
        <f aca="false">K447</f>
        <v>1</v>
      </c>
      <c r="K447" s="225" t="n">
        <f aca="false">_xlfn.IFNA(IF(B447&gt;=$K$11, 1,0),0)</f>
        <v>1</v>
      </c>
      <c r="L447" s="60" t="str">
        <f aca="false">IF(I447=0,1,"")</f>
        <v/>
      </c>
      <c r="P447" s="4" t="n">
        <f aca="false">IF(AND(G447&gt;E447, A447&lt;&gt;0, V447&lt;&gt;0), $N$5 * ($P$22 ^ V447 - 1), 0)</f>
        <v>0</v>
      </c>
      <c r="V447" s="71" t="n">
        <f aca="false">IF(B447&lt;EDATE($K$11,12), 0,  DATEDIF(EDATE($K$11,12), B447 + 1, "y") + 1 )</f>
        <v>30</v>
      </c>
    </row>
    <row r="448" customFormat="false" ht="12.75" hidden="false" customHeight="true" outlineLevel="0" collapsed="false">
      <c r="A448" s="228" t="n">
        <f aca="false">IF(OR(G447="",G447&lt;=0,C447&gt;150),NA(),A447+1)</f>
        <v>420</v>
      </c>
      <c r="B448" s="229" t="n">
        <f aca="false">IF(ISERROR(A448),"",IF($D$9="Annually",EDATE(B447,12),EDATE(B447,1)))</f>
        <v>59077</v>
      </c>
      <c r="C448" s="230" t="n">
        <f aca="false">IF(ISERROR(A448),"",C447+IF($D$9="Monthly",1/12,1))</f>
        <v>96.0499999999983</v>
      </c>
      <c r="D448" s="231" t="n">
        <f aca="false">IF(L447&lt;&gt;1, IF(G447&lt;E447,0,D447),IF(L447=1,IFERROR(ROUND(IF($G447 - (E447 * 6) &lt; 0, D447, ($G447 - (E447 * 6)) * $D$8 / 12),2),0) ) )</f>
        <v>2.64</v>
      </c>
      <c r="E448" s="231" t="n">
        <f aca="false">IF(ISERROR(A448), 0,  MAX(0,   MIN(    ROUND(G447 + D448, 2),    ROUND(FV($S$5, IF(type=1, A448, A447), , IF(J448&lt;&gt;1, -$D$20, -$P$16 + P448), 2), 0)   )  ) )</f>
        <v>38</v>
      </c>
      <c r="F448" s="231" t="n">
        <f aca="false">IF(J448&lt;&gt;1, "", IF(J447&lt;&gt;0, F447, $K$12))</f>
        <v>1</v>
      </c>
      <c r="G448" s="232" t="n">
        <f aca="false">IF(ISERROR(A448),"",ROUND(G447-E448+D448,2))</f>
        <v>541.79</v>
      </c>
      <c r="H448" s="237" t="n">
        <f aca="false">IF(G448&gt;0,IFERROR(H447+(H447*($D$16/12)),""),"")</f>
        <v>37.0358715872415</v>
      </c>
      <c r="I448" s="223" t="n">
        <f aca="false">IF(ISERROR(A449),"",12 - MONTH(B448))</f>
        <v>3</v>
      </c>
      <c r="J448" s="224" t="n">
        <f aca="false">K448</f>
        <v>1</v>
      </c>
      <c r="K448" s="225" t="n">
        <f aca="false">_xlfn.IFNA(IF(B448&gt;=$K$11, 1,0),0)</f>
        <v>1</v>
      </c>
      <c r="L448" s="60" t="str">
        <f aca="false">IF(I448=0,1,"")</f>
        <v/>
      </c>
      <c r="P448" s="4" t="n">
        <f aca="false">IF(AND(G448&gt;E448, A448&lt;&gt;0, V448&lt;&gt;0), $N$5 * ($P$22 ^ V448 - 1), 0)</f>
        <v>0</v>
      </c>
      <c r="V448" s="71" t="n">
        <f aca="false">IF(B448&lt;EDATE($K$11,12), 0,  DATEDIF(EDATE($K$11,12), B448 + 1, "y") + 1 )</f>
        <v>30</v>
      </c>
    </row>
    <row r="449" customFormat="false" ht="12.75" hidden="false" customHeight="true" outlineLevel="0" collapsed="false">
      <c r="A449" s="228" t="n">
        <f aca="false">IF(OR(G448="",G448&lt;=0,C448&gt;150),NA(),A448+1)</f>
        <v>421</v>
      </c>
      <c r="B449" s="229" t="n">
        <f aca="false">IF(ISERROR(A449),"",IF($D$9="Annually",EDATE(B448,12),EDATE(B448,1)))</f>
        <v>59107</v>
      </c>
      <c r="C449" s="230" t="n">
        <f aca="false">IF(ISERROR(A449),"",C448+IF($D$9="Monthly",1/12,1))</f>
        <v>96.1333333333316</v>
      </c>
      <c r="D449" s="231" t="n">
        <f aca="false">IF(L448&lt;&gt;1, IF(G448&lt;E448,0,D448),IF(L448=1,IFERROR(ROUND(IF($G448 - (E448 * 6) &lt; 0, D448, ($G448 - (E448 * 6)) * $D$8 / 12),2),0) ) )</f>
        <v>2.64</v>
      </c>
      <c r="E449" s="231" t="n">
        <f aca="false">IF(ISERROR(A449), 0,  MAX(0,   MIN(    ROUND(G448 + D449, 2),    ROUND(FV($S$5, IF(type=1, A449, A448), , IF(J449&lt;&gt;1, -$D$20, -$P$16 + P449), 2), 0)   )  ) )</f>
        <v>38</v>
      </c>
      <c r="F449" s="231" t="n">
        <f aca="false">IF(J449&lt;&gt;1, "", IF(J448&lt;&gt;0, F448, $K$12))</f>
        <v>1</v>
      </c>
      <c r="G449" s="232" t="n">
        <f aca="false">IF(ISERROR(A449),"",ROUND(G448-E449+D449,2))</f>
        <v>506.43</v>
      </c>
      <c r="H449" s="237" t="n">
        <f aca="false">IF(G449&gt;0,IFERROR(H448+(H448*($D$16/12)),""),"")</f>
        <v>37.0975980398869</v>
      </c>
      <c r="I449" s="223" t="n">
        <f aca="false">IF(ISERROR(A450),"",12 - MONTH(B449))</f>
        <v>2</v>
      </c>
      <c r="J449" s="224" t="n">
        <f aca="false">K449</f>
        <v>1</v>
      </c>
      <c r="K449" s="225" t="n">
        <f aca="false">_xlfn.IFNA(IF(B449&gt;=$K$11, 1,0),0)</f>
        <v>1</v>
      </c>
      <c r="L449" s="60" t="str">
        <f aca="false">IF(I449=0,1,"")</f>
        <v/>
      </c>
      <c r="P449" s="4" t="n">
        <f aca="false">IF(AND(G449&gt;E449, A449&lt;&gt;0, V449&lt;&gt;0), $N$5 * ($P$22 ^ V449 - 1), 0)</f>
        <v>0</v>
      </c>
      <c r="V449" s="71" t="n">
        <f aca="false">IF(B449&lt;EDATE($K$11,12), 0,  DATEDIF(EDATE($K$11,12), B449 + 1, "y") + 1 )</f>
        <v>30</v>
      </c>
    </row>
    <row r="450" customFormat="false" ht="12.75" hidden="false" customHeight="true" outlineLevel="0" collapsed="false">
      <c r="A450" s="228" t="n">
        <f aca="false">IF(OR(G449="",G449&lt;=0,C449&gt;150),NA(),A449+1)</f>
        <v>422</v>
      </c>
      <c r="B450" s="229" t="n">
        <f aca="false">IF(ISERROR(A450),"",IF($D$9="Annually",EDATE(B449,12),EDATE(B449,1)))</f>
        <v>59138</v>
      </c>
      <c r="C450" s="230" t="n">
        <f aca="false">IF(ISERROR(A450),"",C449+IF($D$9="Monthly",1/12,1))</f>
        <v>96.2166666666649</v>
      </c>
      <c r="D450" s="231" t="n">
        <f aca="false">IF(L449&lt;&gt;1, IF(G449&lt;E449,0,D449),IF(L449=1,IFERROR(ROUND(IF($G449 - (E449 * 6) &lt; 0, D449, ($G449 - (E449 * 6)) * $D$8 / 12),2),0) ) )</f>
        <v>2.64</v>
      </c>
      <c r="E450" s="231" t="n">
        <f aca="false">IF(ISERROR(A450), 0,  MAX(0,   MIN(    ROUND(G449 + D450, 2),    ROUND(FV($S$5, IF(type=1, A450, A449), , IF(J450&lt;&gt;1, -$D$20, -$P$16 + P450), 2), 0)   )  ) )</f>
        <v>38</v>
      </c>
      <c r="F450" s="231" t="n">
        <f aca="false">IF(J450&lt;&gt;1, "", IF(J449&lt;&gt;0, F449, $K$12))</f>
        <v>1</v>
      </c>
      <c r="G450" s="232" t="n">
        <f aca="false">IF(ISERROR(A450),"",ROUND(G449-E450+D450,2))</f>
        <v>471.07</v>
      </c>
      <c r="H450" s="237" t="n">
        <f aca="false">IF(G450&gt;0,IFERROR(H449+(H449*($D$16/12)),""),"")</f>
        <v>37.1594273699534</v>
      </c>
      <c r="I450" s="223" t="n">
        <f aca="false">IF(ISERROR(A451),"",12 - MONTH(B450))</f>
        <v>1</v>
      </c>
      <c r="J450" s="224" t="n">
        <f aca="false">K450</f>
        <v>1</v>
      </c>
      <c r="K450" s="225" t="n">
        <f aca="false">_xlfn.IFNA(IF(B450&gt;=$K$11, 1,0),0)</f>
        <v>1</v>
      </c>
      <c r="L450" s="60" t="str">
        <f aca="false">IF(I450=0,1,"")</f>
        <v/>
      </c>
      <c r="P450" s="4" t="n">
        <f aca="false">IF(AND(G450&gt;E450, A450&lt;&gt;0, V450&lt;&gt;0), $N$5 * ($P$22 ^ V450 - 1), 0)</f>
        <v>0</v>
      </c>
      <c r="V450" s="71" t="n">
        <f aca="false">IF(B450&lt;EDATE($K$11,12), 0,  DATEDIF(EDATE($K$11,12), B450 + 1, "y") + 1 )</f>
        <v>30</v>
      </c>
    </row>
    <row r="451" customFormat="false" ht="12.75" hidden="false" customHeight="true" outlineLevel="0" collapsed="false">
      <c r="A451" s="228" t="n">
        <f aca="false">IF(OR(G450="",G450&lt;=0,C450&gt;150),NA(),A450+1)</f>
        <v>423</v>
      </c>
      <c r="B451" s="229" t="n">
        <f aca="false">IF(ISERROR(A451),"",IF($D$9="Annually",EDATE(B450,12),EDATE(B450,1)))</f>
        <v>59168</v>
      </c>
      <c r="C451" s="230" t="n">
        <f aca="false">IF(ISERROR(A451),"",C450+IF($D$9="Monthly",1/12,1))</f>
        <v>96.2999999999983</v>
      </c>
      <c r="D451" s="231" t="n">
        <f aca="false">IF(L450&lt;&gt;1, IF(G450&lt;E450,0,D450),IF(L450=1,IFERROR(ROUND(IF($G450 - (E450 * 6) &lt; 0, D450, ($G450 - (E450 * 6)) * $D$8 / 12),2),0) ) )</f>
        <v>2.64</v>
      </c>
      <c r="E451" s="231" t="n">
        <f aca="false">IF(ISERROR(A451), 0,  MAX(0,   MIN(    ROUND(G450 + D451, 2),    ROUND(FV($S$5, IF(type=1, A451, A450), , IF(J451&lt;&gt;1, -$D$20, -$P$16 + P451), 2), 0)   )  ) )</f>
        <v>38</v>
      </c>
      <c r="F451" s="231" t="n">
        <f aca="false">IF(J451&lt;&gt;1, "", IF(J450&lt;&gt;0, F450, $K$12))</f>
        <v>1</v>
      </c>
      <c r="G451" s="232" t="n">
        <f aca="false">IF(ISERROR(A451),"",ROUND(G450-E451+D451,2))</f>
        <v>435.71</v>
      </c>
      <c r="H451" s="237" t="n">
        <f aca="false">IF(G451&gt;0,IFERROR(H450+(H450*($D$16/12)),""),"")</f>
        <v>37.2213597489033</v>
      </c>
      <c r="I451" s="223" t="n">
        <f aca="false">IF(ISERROR(A452),"",12 - MONTH(B451))</f>
        <v>0</v>
      </c>
      <c r="J451" s="224" t="n">
        <f aca="false">K451</f>
        <v>1</v>
      </c>
      <c r="K451" s="225" t="n">
        <f aca="false">_xlfn.IFNA(IF(B451&gt;=$K$11, 1,0),0)</f>
        <v>1</v>
      </c>
      <c r="L451" s="60" t="n">
        <f aca="false">IF(I451=0,1,"")</f>
        <v>1</v>
      </c>
      <c r="P451" s="4" t="n">
        <f aca="false">IF(AND(G451&gt;E451, A451&lt;&gt;0, V451&lt;&gt;0), $N$5 * ($P$22 ^ V451 - 1), 0)</f>
        <v>0</v>
      </c>
      <c r="V451" s="71" t="n">
        <f aca="false">IF(B451&lt;EDATE($K$11,12), 0,  DATEDIF(EDATE($K$11,12), B451 + 1, "y") + 1 )</f>
        <v>30</v>
      </c>
    </row>
    <row r="452" customFormat="false" ht="12.75" hidden="false" customHeight="true" outlineLevel="0" collapsed="false">
      <c r="A452" s="228" t="n">
        <f aca="false">IF(OR(G451="",G451&lt;=0,C451&gt;150),NA(),A451+1)</f>
        <v>424</v>
      </c>
      <c r="B452" s="229" t="n">
        <f aca="false">IF(ISERROR(A452),"",IF($D$9="Annually",EDATE(B451,12),EDATE(B451,1)))</f>
        <v>59199</v>
      </c>
      <c r="C452" s="230" t="n">
        <f aca="false">IF(ISERROR(A452),"",C451+IF($D$9="Monthly",1/12,1))</f>
        <v>96.3833333333316</v>
      </c>
      <c r="D452" s="231" t="n">
        <f aca="false">IF(L451&lt;&gt;1, IF(G451&lt;E451,0,D451),IF(L451=1,IFERROR(ROUND(IF($G451 - (E451 * 6) &lt; 0, D451, ($G451 - (E451 * 6)) * $D$8 / 12),2),0) ) )</f>
        <v>0.87</v>
      </c>
      <c r="E452" s="231" t="n">
        <f aca="false">IF(ISERROR(A452), 0,  MAX(0,   MIN(    ROUND(G451 + D452, 2),    ROUND(FV($S$5, IF(type=1, A452, A451), , IF(J452&lt;&gt;1, -$D$20, -$P$16 + P452), 2), 0)   )  ) )</f>
        <v>38</v>
      </c>
      <c r="F452" s="231" t="n">
        <f aca="false">IF(J452&lt;&gt;1, "", IF(J451&lt;&gt;0, F451, $K$12))</f>
        <v>1</v>
      </c>
      <c r="G452" s="232" t="n">
        <f aca="false">IF(ISERROR(A452),"",ROUND(G451-E452+D452,2))</f>
        <v>398.58</v>
      </c>
      <c r="H452" s="237" t="n">
        <f aca="false">IF(G452&gt;0,IFERROR(H451+(H451*($D$16/12)),""),"")</f>
        <v>37.2833953484848</v>
      </c>
      <c r="I452" s="223" t="n">
        <f aca="false">IF(ISERROR(A453),"",12 - MONTH(B452))</f>
        <v>11</v>
      </c>
      <c r="J452" s="224" t="n">
        <f aca="false">K452</f>
        <v>1</v>
      </c>
      <c r="K452" s="225" t="n">
        <f aca="false">_xlfn.IFNA(IF(B452&gt;=$K$11, 1,0),0)</f>
        <v>1</v>
      </c>
      <c r="L452" s="60" t="str">
        <f aca="false">IF(I452=0,1,"")</f>
        <v/>
      </c>
      <c r="P452" s="4" t="n">
        <f aca="false">IF(AND(G452&gt;E452, A452&lt;&gt;0, V452&lt;&gt;0), $N$5 * ($P$22 ^ V452 - 1), 0)</f>
        <v>0</v>
      </c>
      <c r="V452" s="71" t="n">
        <f aca="false">IF(B452&lt;EDATE($K$11,12), 0,  DATEDIF(EDATE($K$11,12), B452 + 1, "y") + 1 )</f>
        <v>31</v>
      </c>
    </row>
    <row r="453" customFormat="false" ht="12.75" hidden="false" customHeight="true" outlineLevel="0" collapsed="false">
      <c r="A453" s="228" t="n">
        <f aca="false">IF(OR(G452="",G452&lt;=0,C452&gt;150),NA(),A452+1)</f>
        <v>425</v>
      </c>
      <c r="B453" s="229" t="n">
        <f aca="false">IF(ISERROR(A453),"",IF($D$9="Annually",EDATE(B452,12),EDATE(B452,1)))</f>
        <v>59230</v>
      </c>
      <c r="C453" s="230" t="n">
        <f aca="false">IF(ISERROR(A453),"",C452+IF($D$9="Monthly",1/12,1))</f>
        <v>96.4666666666649</v>
      </c>
      <c r="D453" s="231" t="n">
        <f aca="false">IF(L452&lt;&gt;1, IF(G452&lt;E452,0,D452),IF(L452=1,IFERROR(ROUND(IF($G452 - (E452 * 6) &lt; 0, D452, ($G452 - (E452 * 6)) * $D$8 / 12),2),0) ) )</f>
        <v>0.87</v>
      </c>
      <c r="E453" s="231" t="n">
        <f aca="false">IF(ISERROR(A453), 0,  MAX(0,   MIN(    ROUND(G452 + D453, 2),    ROUND(FV($S$5, IF(type=1, A453, A452), , IF(J453&lt;&gt;1, -$D$20, -$P$16 + P453), 2), 0)   )  ) )</f>
        <v>38</v>
      </c>
      <c r="F453" s="231" t="n">
        <f aca="false">IF(J453&lt;&gt;1, "", IF(J452&lt;&gt;0, F452, $K$12))</f>
        <v>1</v>
      </c>
      <c r="G453" s="232" t="n">
        <f aca="false">IF(ISERROR(A453),"",ROUND(G452-E453+D453,2))</f>
        <v>361.45</v>
      </c>
      <c r="H453" s="237" t="n">
        <f aca="false">IF(G453&gt;0,IFERROR(H452+(H452*($D$16/12)),""),"")</f>
        <v>37.3455343407323</v>
      </c>
      <c r="I453" s="223" t="n">
        <f aca="false">IF(ISERROR(A454),"",12 - MONTH(B453))</f>
        <v>10</v>
      </c>
      <c r="J453" s="224" t="n">
        <f aca="false">K453</f>
        <v>1</v>
      </c>
      <c r="K453" s="225" t="n">
        <f aca="false">_xlfn.IFNA(IF(B453&gt;=$K$11, 1,0),0)</f>
        <v>1</v>
      </c>
      <c r="L453" s="60" t="str">
        <f aca="false">IF(I453=0,1,"")</f>
        <v/>
      </c>
      <c r="P453" s="4" t="n">
        <f aca="false">IF(AND(G453&gt;E453, A453&lt;&gt;0, V453&lt;&gt;0), $N$5 * ($P$22 ^ V453 - 1), 0)</f>
        <v>0</v>
      </c>
      <c r="V453" s="71" t="n">
        <f aca="false">IF(B453&lt;EDATE($K$11,12), 0,  DATEDIF(EDATE($K$11,12), B453 + 1, "y") + 1 )</f>
        <v>31</v>
      </c>
    </row>
    <row r="454" customFormat="false" ht="12.75" hidden="false" customHeight="true" outlineLevel="0" collapsed="false">
      <c r="A454" s="228" t="n">
        <f aca="false">IF(OR(G453="",G453&lt;=0,C453&gt;150),NA(),A453+1)</f>
        <v>426</v>
      </c>
      <c r="B454" s="229" t="n">
        <f aca="false">IF(ISERROR(A454),"",IF($D$9="Annually",EDATE(B453,12),EDATE(B453,1)))</f>
        <v>59258</v>
      </c>
      <c r="C454" s="230" t="n">
        <f aca="false">IF(ISERROR(A454),"",C453+IF($D$9="Monthly",1/12,1))</f>
        <v>96.5499999999982</v>
      </c>
      <c r="D454" s="231" t="n">
        <f aca="false">IF(L453&lt;&gt;1, IF(G453&lt;E453,0,D453),IF(L453=1,IFERROR(ROUND(IF($G453 - (E453 * 6) &lt; 0, D453, ($G453 - (E453 * 6)) * $D$8 / 12),2),0) ) )</f>
        <v>0.87</v>
      </c>
      <c r="E454" s="231" t="n">
        <f aca="false">IF(ISERROR(A454), 0,  MAX(0,   MIN(    ROUND(G453 + D454, 2),    ROUND(FV($S$5, IF(type=1, A454, A453), , IF(J454&lt;&gt;1, -$D$20, -$P$16 + P454), 2), 0)   )  ) )</f>
        <v>38</v>
      </c>
      <c r="F454" s="231" t="n">
        <f aca="false">IF(J454&lt;&gt;1, "", IF(J453&lt;&gt;0, F453, $K$12))</f>
        <v>1</v>
      </c>
      <c r="G454" s="232" t="n">
        <f aca="false">IF(ISERROR(A454),"",ROUND(G453-E454+D454,2))</f>
        <v>324.32</v>
      </c>
      <c r="H454" s="237" t="n">
        <f aca="false">IF(G454&gt;0,IFERROR(H453+(H453*($D$16/12)),""),"")</f>
        <v>37.4077768979668</v>
      </c>
      <c r="I454" s="223" t="n">
        <f aca="false">IF(ISERROR(A455),"",12 - MONTH(B454))</f>
        <v>9</v>
      </c>
      <c r="J454" s="224" t="n">
        <f aca="false">K454</f>
        <v>1</v>
      </c>
      <c r="K454" s="225" t="n">
        <f aca="false">_xlfn.IFNA(IF(B454&gt;=$K$11, 1,0),0)</f>
        <v>1</v>
      </c>
      <c r="L454" s="60" t="str">
        <f aca="false">IF(I454=0,1,"")</f>
        <v/>
      </c>
      <c r="P454" s="4" t="n">
        <f aca="false">IF(AND(G454&gt;E454, A454&lt;&gt;0, V454&lt;&gt;0), $N$5 * ($P$22 ^ V454 - 1), 0)</f>
        <v>0</v>
      </c>
      <c r="V454" s="71" t="n">
        <f aca="false">IF(B454&lt;EDATE($K$11,12), 0,  DATEDIF(EDATE($K$11,12), B454 + 1, "y") + 1 )</f>
        <v>31</v>
      </c>
    </row>
    <row r="455" customFormat="false" ht="12.75" hidden="false" customHeight="true" outlineLevel="0" collapsed="false">
      <c r="A455" s="228" t="n">
        <f aca="false">IF(OR(G454="",G454&lt;=0,C454&gt;150),NA(),A454+1)</f>
        <v>427</v>
      </c>
      <c r="B455" s="229" t="n">
        <f aca="false">IF(ISERROR(A455),"",IF($D$9="Annually",EDATE(B454,12),EDATE(B454,1)))</f>
        <v>59289</v>
      </c>
      <c r="C455" s="230" t="n">
        <f aca="false">IF(ISERROR(A455),"",C454+IF($D$9="Monthly",1/12,1))</f>
        <v>96.6333333333316</v>
      </c>
      <c r="D455" s="231" t="n">
        <f aca="false">IF(L454&lt;&gt;1, IF(G454&lt;E454,0,D454),IF(L454=1,IFERROR(ROUND(IF($G454 - (E454 * 6) &lt; 0, D454, ($G454 - (E454 * 6)) * $D$8 / 12),2),0) ) )</f>
        <v>0.87</v>
      </c>
      <c r="E455" s="231" t="n">
        <f aca="false">IF(ISERROR(A455), 0,  MAX(0,   MIN(    ROUND(G454 + D455, 2),    ROUND(FV($S$5, IF(type=1, A455, A454), , IF(J455&lt;&gt;1, -$D$20, -$P$16 + P455), 2), 0)   )  ) )</f>
        <v>38</v>
      </c>
      <c r="F455" s="231" t="n">
        <f aca="false">IF(J455&lt;&gt;1, "", IF(J454&lt;&gt;0, F454, $K$12))</f>
        <v>1</v>
      </c>
      <c r="G455" s="232" t="n">
        <f aca="false">IF(ISERROR(A455),"",ROUND(G454-E455+D455,2))</f>
        <v>287.19</v>
      </c>
      <c r="H455" s="237" t="n">
        <f aca="false">IF(G455&gt;0,IFERROR(H454+(H454*($D$16/12)),""),"")</f>
        <v>37.4701231927968</v>
      </c>
      <c r="I455" s="223" t="n">
        <f aca="false">IF(ISERROR(A456),"",12 - MONTH(B455))</f>
        <v>8</v>
      </c>
      <c r="J455" s="224" t="n">
        <f aca="false">K455</f>
        <v>1</v>
      </c>
      <c r="K455" s="225" t="n">
        <f aca="false">_xlfn.IFNA(IF(B455&gt;=$K$11, 1,0),0)</f>
        <v>1</v>
      </c>
      <c r="L455" s="60" t="str">
        <f aca="false">IF(I455=0,1,"")</f>
        <v/>
      </c>
      <c r="P455" s="4" t="n">
        <f aca="false">IF(AND(G455&gt;E455, A455&lt;&gt;0, V455&lt;&gt;0), $N$5 * ($P$22 ^ V455 - 1), 0)</f>
        <v>0</v>
      </c>
      <c r="V455" s="71" t="n">
        <f aca="false">IF(B455&lt;EDATE($K$11,12), 0,  DATEDIF(EDATE($K$11,12), B455 + 1, "y") + 1 )</f>
        <v>31</v>
      </c>
    </row>
    <row r="456" customFormat="false" ht="12.75" hidden="false" customHeight="true" outlineLevel="0" collapsed="false">
      <c r="A456" s="228" t="n">
        <f aca="false">IF(OR(G455="",G455&lt;=0,C455&gt;150),NA(),A455+1)</f>
        <v>428</v>
      </c>
      <c r="B456" s="229" t="n">
        <f aca="false">IF(ISERROR(A456),"",IF($D$9="Annually",EDATE(B455,12),EDATE(B455,1)))</f>
        <v>59319</v>
      </c>
      <c r="C456" s="230" t="n">
        <f aca="false">IF(ISERROR(A456),"",C455+IF($D$9="Monthly",1/12,1))</f>
        <v>96.7166666666649</v>
      </c>
      <c r="D456" s="231" t="n">
        <f aca="false">IF(L455&lt;&gt;1, IF(G455&lt;E455,0,D455),IF(L455=1,IFERROR(ROUND(IF($G455 - (E455 * 6) &lt; 0, D455, ($G455 - (E455 * 6)) * $D$8 / 12),2),0) ) )</f>
        <v>0.87</v>
      </c>
      <c r="E456" s="231" t="n">
        <f aca="false">IF(ISERROR(A456), 0,  MAX(0,   MIN(    ROUND(G455 + D456, 2),    ROUND(FV($S$5, IF(type=1, A456, A455), , IF(J456&lt;&gt;1, -$D$20, -$P$16 + P456), 2), 0)   )  ) )</f>
        <v>38</v>
      </c>
      <c r="F456" s="231" t="n">
        <f aca="false">IF(J456&lt;&gt;1, "", IF(J455&lt;&gt;0, F455, $K$12))</f>
        <v>1</v>
      </c>
      <c r="G456" s="232" t="n">
        <f aca="false">IF(ISERROR(A456),"",ROUND(G455-E456+D456,2))</f>
        <v>250.06</v>
      </c>
      <c r="H456" s="237" t="n">
        <f aca="false">IF(G456&gt;0,IFERROR(H455+(H455*($D$16/12)),""),"")</f>
        <v>37.5325733981181</v>
      </c>
      <c r="I456" s="223" t="n">
        <f aca="false">IF(ISERROR(A457),"",12 - MONTH(B456))</f>
        <v>7</v>
      </c>
      <c r="J456" s="224" t="n">
        <f aca="false">K456</f>
        <v>1</v>
      </c>
      <c r="K456" s="225" t="n">
        <f aca="false">_xlfn.IFNA(IF(B456&gt;=$K$11, 1,0),0)</f>
        <v>1</v>
      </c>
      <c r="L456" s="60" t="str">
        <f aca="false">IF(I456=0,1,"")</f>
        <v/>
      </c>
      <c r="P456" s="4" t="n">
        <f aca="false">IF(AND(G456&gt;E456, A456&lt;&gt;0, V456&lt;&gt;0), $N$5 * ($P$22 ^ V456 - 1), 0)</f>
        <v>0</v>
      </c>
      <c r="V456" s="71" t="n">
        <f aca="false">IF(B456&lt;EDATE($K$11,12), 0,  DATEDIF(EDATE($K$11,12), B456 + 1, "y") + 1 )</f>
        <v>31</v>
      </c>
    </row>
    <row r="457" customFormat="false" ht="12.75" hidden="false" customHeight="true" outlineLevel="0" collapsed="false">
      <c r="A457" s="228" t="n">
        <f aca="false">IF(OR(G456="",G456&lt;=0,C456&gt;150),NA(),A456+1)</f>
        <v>429</v>
      </c>
      <c r="B457" s="229" t="n">
        <f aca="false">IF(ISERROR(A457),"",IF($D$9="Annually",EDATE(B456,12),EDATE(B456,1)))</f>
        <v>59350</v>
      </c>
      <c r="C457" s="230" t="n">
        <f aca="false">IF(ISERROR(A457),"",C456+IF($D$9="Monthly",1/12,1))</f>
        <v>96.7999999999982</v>
      </c>
      <c r="D457" s="231" t="n">
        <f aca="false">IF(L456&lt;&gt;1, IF(G456&lt;E456,0,D456),IF(L456=1,IFERROR(ROUND(IF($G456 - (E456 * 6) &lt; 0, D456, ($G456 - (E456 * 6)) * $D$8 / 12),2),0) ) )</f>
        <v>0.87</v>
      </c>
      <c r="E457" s="231" t="n">
        <f aca="false">IF(ISERROR(A457), 0,  MAX(0,   MIN(    ROUND(G456 + D457, 2),    ROUND(FV($S$5, IF(type=1, A457, A456), , IF(J457&lt;&gt;1, -$D$20, -$P$16 + P457), 2), 0)   )  ) )</f>
        <v>38</v>
      </c>
      <c r="F457" s="231" t="n">
        <f aca="false">IF(J457&lt;&gt;1, "", IF(J456&lt;&gt;0, F456, $K$12))</f>
        <v>1</v>
      </c>
      <c r="G457" s="232" t="n">
        <f aca="false">IF(ISERROR(A457),"",ROUND(G456-E457+D457,2))</f>
        <v>212.93</v>
      </c>
      <c r="H457" s="237" t="n">
        <f aca="false">IF(G457&gt;0,IFERROR(H456+(H456*($D$16/12)),""),"")</f>
        <v>37.5951276871149</v>
      </c>
      <c r="I457" s="223" t="n">
        <f aca="false">IF(ISERROR(A458),"",12 - MONTH(B457))</f>
        <v>6</v>
      </c>
      <c r="J457" s="224" t="n">
        <f aca="false">K457</f>
        <v>1</v>
      </c>
      <c r="K457" s="225" t="n">
        <f aca="false">_xlfn.IFNA(IF(B457&gt;=$K$11, 1,0),0)</f>
        <v>1</v>
      </c>
      <c r="L457" s="60" t="str">
        <f aca="false">IF(I457=0,1,"")</f>
        <v/>
      </c>
      <c r="P457" s="4" t="n">
        <f aca="false">IF(AND(G457&gt;E457, A457&lt;&gt;0, V457&lt;&gt;0), $N$5 * ($P$22 ^ V457 - 1), 0)</f>
        <v>0</v>
      </c>
      <c r="V457" s="71" t="n">
        <f aca="false">IF(B457&lt;EDATE($K$11,12), 0,  DATEDIF(EDATE($K$11,12), B457 + 1, "y") + 1 )</f>
        <v>31</v>
      </c>
    </row>
    <row r="458" customFormat="false" ht="12.75" hidden="false" customHeight="true" outlineLevel="0" collapsed="false">
      <c r="A458" s="228" t="n">
        <f aca="false">IF(OR(G457="",G457&lt;=0,C457&gt;150),NA(),A457+1)</f>
        <v>430</v>
      </c>
      <c r="B458" s="229" t="n">
        <f aca="false">IF(ISERROR(A458),"",IF($D$9="Annually",EDATE(B457,12),EDATE(B457,1)))</f>
        <v>59380</v>
      </c>
      <c r="C458" s="230" t="n">
        <f aca="false">IF(ISERROR(A458),"",C457+IF($D$9="Monthly",1/12,1))</f>
        <v>96.8833333333316</v>
      </c>
      <c r="D458" s="231" t="n">
        <f aca="false">IF(L457&lt;&gt;1, IF(G457&lt;E457,0,D457),IF(L457=1,IFERROR(ROUND(IF($G457 - (E457 * 6) &lt; 0, D457, ($G457 - (E457 * 6)) * $D$8 / 12),2),0) ) )</f>
        <v>0.87</v>
      </c>
      <c r="E458" s="231" t="n">
        <f aca="false">IF(ISERROR(A458), 0,  MAX(0,   MIN(    ROUND(G457 + D458, 2),    ROUND(FV($S$5, IF(type=1, A458, A457), , IF(J458&lt;&gt;1, -$D$20, -$P$16 + P458), 2), 0)   )  ) )</f>
        <v>38</v>
      </c>
      <c r="F458" s="231" t="n">
        <f aca="false">IF(J458&lt;&gt;1, "", IF(J457&lt;&gt;0, F457, $K$12))</f>
        <v>1</v>
      </c>
      <c r="G458" s="232" t="n">
        <f aca="false">IF(ISERROR(A458),"",ROUND(G457-E458+D458,2))</f>
        <v>175.8</v>
      </c>
      <c r="H458" s="237" t="n">
        <f aca="false">IF(G458&gt;0,IFERROR(H457+(H457*($D$16/12)),""),"")</f>
        <v>37.6577862332601</v>
      </c>
      <c r="I458" s="223" t="n">
        <f aca="false">IF(ISERROR(A459),"",12 - MONTH(B458))</f>
        <v>5</v>
      </c>
      <c r="J458" s="224" t="n">
        <f aca="false">K458</f>
        <v>1</v>
      </c>
      <c r="K458" s="225" t="n">
        <f aca="false">_xlfn.IFNA(IF(B458&gt;=$K$11, 1,0),0)</f>
        <v>1</v>
      </c>
      <c r="L458" s="60" t="str">
        <f aca="false">IF(I458=0,1,"")</f>
        <v/>
      </c>
      <c r="P458" s="4" t="n">
        <f aca="false">IF(AND(G458&gt;E458, A458&lt;&gt;0, V458&lt;&gt;0), $N$5 * ($P$22 ^ V458 - 1), 0)</f>
        <v>0</v>
      </c>
      <c r="V458" s="71" t="n">
        <f aca="false">IF(B458&lt;EDATE($K$11,12), 0,  DATEDIF(EDATE($K$11,12), B458 + 1, "y") + 1 )</f>
        <v>31</v>
      </c>
    </row>
    <row r="459" customFormat="false" ht="12.75" hidden="false" customHeight="true" outlineLevel="0" collapsed="false">
      <c r="A459" s="228" t="n">
        <f aca="false">IF(OR(G458="",G458&lt;=0,C458&gt;150),NA(),A458+1)</f>
        <v>431</v>
      </c>
      <c r="B459" s="229" t="n">
        <f aca="false">IF(ISERROR(A459),"",IF($D$9="Annually",EDATE(B458,12),EDATE(B458,1)))</f>
        <v>59411</v>
      </c>
      <c r="C459" s="230" t="n">
        <f aca="false">IF(ISERROR(A459),"",C458+IF($D$9="Monthly",1/12,1))</f>
        <v>96.9666666666649</v>
      </c>
      <c r="D459" s="231" t="n">
        <f aca="false">IF(L458&lt;&gt;1, IF(G458&lt;E458,0,D458),IF(L458=1,IFERROR(ROUND(IF($G458 - (E458 * 6) &lt; 0, D458, ($G458 - (E458 * 6)) * $D$8 / 12),2),0) ) )</f>
        <v>0.87</v>
      </c>
      <c r="E459" s="231" t="n">
        <f aca="false">IF(ISERROR(A459), 0,  MAX(0,   MIN(    ROUND(G458 + D459, 2),    ROUND(FV($S$5, IF(type=1, A459, A458), , IF(J459&lt;&gt;1, -$D$20, -$P$16 + P459), 2), 0)   )  ) )</f>
        <v>38</v>
      </c>
      <c r="F459" s="231" t="n">
        <f aca="false">IF(J459&lt;&gt;1, "", IF(J458&lt;&gt;0, F458, $K$12))</f>
        <v>1</v>
      </c>
      <c r="G459" s="232" t="n">
        <f aca="false">IF(ISERROR(A459),"",ROUND(G458-E459+D459,2))</f>
        <v>138.67</v>
      </c>
      <c r="H459" s="237" t="n">
        <f aca="false">IF(G459&gt;0,IFERROR(H458+(H458*($D$16/12)),""),"")</f>
        <v>37.7205492103156</v>
      </c>
      <c r="I459" s="223" t="n">
        <f aca="false">IF(ISERROR(A460),"",12 - MONTH(B459))</f>
        <v>4</v>
      </c>
      <c r="J459" s="224" t="n">
        <f aca="false">K459</f>
        <v>1</v>
      </c>
      <c r="K459" s="225" t="n">
        <f aca="false">_xlfn.IFNA(IF(B459&gt;=$K$11, 1,0),0)</f>
        <v>1</v>
      </c>
      <c r="L459" s="60" t="str">
        <f aca="false">IF(I459=0,1,"")</f>
        <v/>
      </c>
      <c r="P459" s="4" t="n">
        <f aca="false">IF(AND(G459&gt;E459, A459&lt;&gt;0, V459&lt;&gt;0), $N$5 * ($P$22 ^ V459 - 1), 0)</f>
        <v>0</v>
      </c>
      <c r="V459" s="71" t="n">
        <f aca="false">IF(B459&lt;EDATE($K$11,12), 0,  DATEDIF(EDATE($K$11,12), B459 + 1, "y") + 1 )</f>
        <v>31</v>
      </c>
    </row>
    <row r="460" customFormat="false" ht="12.75" hidden="false" customHeight="true" outlineLevel="0" collapsed="false">
      <c r="A460" s="228" t="n">
        <f aca="false">IF(OR(G459="",G459&lt;=0,C459&gt;150),NA(),A459+1)</f>
        <v>432</v>
      </c>
      <c r="B460" s="229" t="n">
        <f aca="false">IF(ISERROR(A460),"",IF($D$9="Annually",EDATE(B459,12),EDATE(B459,1)))</f>
        <v>59442</v>
      </c>
      <c r="C460" s="230" t="n">
        <f aca="false">IF(ISERROR(A460),"",C459+IF($D$9="Monthly",1/12,1))</f>
        <v>97.0499999999982</v>
      </c>
      <c r="D460" s="231" t="n">
        <f aca="false">IF(L459&lt;&gt;1, IF(G459&lt;E459,0,D459),IF(L459=1,IFERROR(ROUND(IF($G459 - (E459 * 6) &lt; 0, D459, ($G459 - (E459 * 6)) * $D$8 / 12),2),0) ) )</f>
        <v>0.87</v>
      </c>
      <c r="E460" s="231" t="n">
        <f aca="false">IF(ISERROR(A460), 0,  MAX(0,   MIN(    ROUND(G459 + D460, 2),    ROUND(FV($S$5, IF(type=1, A460, A459), , IF(J460&lt;&gt;1, -$D$20, -$P$16 + P460), 2), 0)   )  ) )</f>
        <v>38</v>
      </c>
      <c r="F460" s="231" t="n">
        <f aca="false">IF(J460&lt;&gt;1, "", IF(J459&lt;&gt;0, F459, $K$12))</f>
        <v>1</v>
      </c>
      <c r="G460" s="232" t="n">
        <f aca="false">IF(ISERROR(A460),"",ROUND(G459-E460+D460,2))</f>
        <v>101.54</v>
      </c>
      <c r="H460" s="237" t="n">
        <f aca="false">IF(G460&gt;0,IFERROR(H459+(H459*($D$16/12)),""),"")</f>
        <v>37.7834167923328</v>
      </c>
      <c r="I460" s="223" t="n">
        <f aca="false">IF(ISERROR(A461),"",12 - MONTH(B460))</f>
        <v>3</v>
      </c>
      <c r="J460" s="224" t="n">
        <f aca="false">K460</f>
        <v>1</v>
      </c>
      <c r="K460" s="225" t="n">
        <f aca="false">_xlfn.IFNA(IF(B460&gt;=$K$11, 1,0),0)</f>
        <v>1</v>
      </c>
      <c r="L460" s="60" t="str">
        <f aca="false">IF(I460=0,1,"")</f>
        <v/>
      </c>
      <c r="P460" s="4" t="n">
        <f aca="false">IF(AND(G460&gt;E460, A460&lt;&gt;"0.00", V460&lt;&gt;0), $N$5 * ($P$22 ^ V460 - 1), 0)</f>
        <v>0</v>
      </c>
      <c r="V460" s="71" t="n">
        <f aca="false">IF(B460&lt;EDATE($K$11,12), 0,  DATEDIF(EDATE($K$11,12), B460 + 1, "y") + 1 )</f>
        <v>31</v>
      </c>
    </row>
    <row r="461" customFormat="false" ht="12.75" hidden="false" customHeight="true" outlineLevel="0" collapsed="false">
      <c r="A461" s="228" t="n">
        <f aca="false">IF(OR(G460="",G460&lt;=0,C460&gt;150),NA(),A460+1)</f>
        <v>433</v>
      </c>
      <c r="B461" s="229" t="n">
        <f aca="false">IF(ISERROR(A461),"",IF($D$9="Annually",EDATE(B460,12),EDATE(B460,1)))</f>
        <v>59472</v>
      </c>
      <c r="C461" s="230" t="n">
        <f aca="false">IF(ISERROR(A461),"",C460+IF($D$9="Monthly",1/12,1))</f>
        <v>97.1333333333315</v>
      </c>
      <c r="D461" s="231" t="n">
        <f aca="false">IF(L460&lt;&gt;1, IF(G460&lt;E460,0,D460),IF(L460=1,IFERROR(ROUND(IF($G460 - (E460 * 6) &lt; 0, D460, ($G460 - (E460 * 6)) * $D$8 / 12),2),0) ) )</f>
        <v>0.87</v>
      </c>
      <c r="E461" s="231" t="n">
        <f aca="false">IF(ISERROR(A461), 0,  MAX(0,   MIN(    ROUND(G460 + D461, 2),    ROUND(FV($S$5, IF(type=1, A461, A460), , IF(J461&lt;&gt;1, -$D$20, -$P$16 + P461), 2), 0)   )  ) )</f>
        <v>39</v>
      </c>
      <c r="F461" s="231" t="n">
        <f aca="false">IF(J461&lt;&gt;1, "", IF(J460&lt;&gt;0, F460, $K$12))</f>
        <v>1</v>
      </c>
      <c r="G461" s="232" t="n">
        <f aca="false">IF(ISERROR(A461),"",ROUND(G460-E461+D461,2))</f>
        <v>63.41</v>
      </c>
      <c r="H461" s="237" t="n">
        <f aca="false">IF(G461&gt;0,IFERROR(H460+(H460*($D$16/12)),""),"")</f>
        <v>37.8463891536533</v>
      </c>
      <c r="I461" s="223" t="n">
        <f aca="false">IF(ISERROR(A462),"",12 - MONTH(B461))</f>
        <v>2</v>
      </c>
      <c r="J461" s="224" t="n">
        <f aca="false">K461</f>
        <v>1</v>
      </c>
      <c r="K461" s="225" t="n">
        <f aca="false">_xlfn.IFNA(IF(B461&gt;=$K$11, 1,0),0)</f>
        <v>1</v>
      </c>
      <c r="L461" s="60" t="str">
        <f aca="false">IF(I461=0,1,"")</f>
        <v/>
      </c>
      <c r="P461" s="4" t="n">
        <f aca="false">IF(AND(G461&gt;E461, A461&lt;&gt;"0.00", V461&lt;&gt;0), $N$5 * ($P$22 ^ V461 - 1), 0)</f>
        <v>0</v>
      </c>
      <c r="V461" s="71" t="n">
        <f aca="false">IF(B461&lt;EDATE($K$11,12), 0,  DATEDIF(EDATE($K$11,12), B461 + 1, "y") + 1 )</f>
        <v>31</v>
      </c>
    </row>
    <row r="462" customFormat="false" ht="12.75" hidden="false" customHeight="true" outlineLevel="0" collapsed="false">
      <c r="A462" s="228" t="n">
        <f aca="false">IF(OR(G461="",G461&lt;=0,C461&gt;150),NA(),A461+1)</f>
        <v>434</v>
      </c>
      <c r="B462" s="229" t="n">
        <f aca="false">IF(ISERROR(A462),"",IF($D$9="Annually",EDATE(B461,12),EDATE(B461,1)))</f>
        <v>59503</v>
      </c>
      <c r="C462" s="230" t="n">
        <f aca="false">IF(ISERROR(A462),"",C461+IF($D$9="Monthly",1/12,1))</f>
        <v>97.2166666666649</v>
      </c>
      <c r="D462" s="231" t="n">
        <f aca="false">IF(L461&lt;&gt;1, IF(G461&lt;E461,0,D461),IF(L461=1,IFERROR(ROUND(IF($G461 - (E461 * 6) &lt; 0, D461, ($G461 - (E461 * 6)) * $D$8 / 12),2),0) ) )</f>
        <v>0.87</v>
      </c>
      <c r="E462" s="231" t="n">
        <f aca="false">IF(ISERROR(A462), 0,  MAX(0,   MIN(    ROUND(G461 + D462, 2),    ROUND(FV($S$5, IF(type=1, A462, A461), , IF(J462&lt;&gt;1, -$D$20, -$P$16 + P462), 2), 0)   )  ) )</f>
        <v>39</v>
      </c>
      <c r="F462" s="231" t="n">
        <f aca="false">IF(J462&lt;&gt;1, "", IF(J461&lt;&gt;0, F461, $K$12))</f>
        <v>1</v>
      </c>
      <c r="G462" s="232" t="n">
        <f aca="false">IF(ISERROR(A462),"",ROUND(G461-E462+D462,2))</f>
        <v>25.28</v>
      </c>
      <c r="H462" s="237" t="n">
        <f aca="false">IF(G462&gt;0,IFERROR(H461+(H461*($D$16/12)),""),"")</f>
        <v>37.9094664689094</v>
      </c>
      <c r="I462" s="223" t="n">
        <f aca="false">IF(ISERROR(A463),"",12 - MONTH(B462))</f>
        <v>1</v>
      </c>
      <c r="J462" s="224" t="n">
        <f aca="false">K462</f>
        <v>1</v>
      </c>
      <c r="K462" s="225" t="n">
        <f aca="false">_xlfn.IFNA(IF(B462&gt;=$K$11, 1,0),0)</f>
        <v>1</v>
      </c>
      <c r="L462" s="60" t="str">
        <f aca="false">IF(I462=0,1,"")</f>
        <v/>
      </c>
      <c r="P462" s="4" t="n">
        <f aca="false">IF(AND(G462&gt;E462, A462&lt;&gt;"0.00", V462&lt;&gt;0), $N$5 * ($P$22 ^ V462 - 1), 0)</f>
        <v>0</v>
      </c>
      <c r="V462" s="71" t="n">
        <f aca="false">IF(B462&lt;EDATE($K$11,12), 0,  DATEDIF(EDATE($K$11,12), B462 + 1, "y") + 1 )</f>
        <v>31</v>
      </c>
    </row>
    <row r="463" customFormat="false" ht="12.75" hidden="false" customHeight="true" outlineLevel="0" collapsed="false">
      <c r="A463" s="228" t="n">
        <f aca="false">IF(OR(G462="",G462&lt;=0,C462&gt;150),NA(),A462+1)</f>
        <v>435</v>
      </c>
      <c r="B463" s="229" t="n">
        <f aca="false">IF(ISERROR(A463),"",IF($D$9="Annually",EDATE(B462,12),EDATE(B462,1)))</f>
        <v>59533</v>
      </c>
      <c r="C463" s="230" t="n">
        <f aca="false">IF(ISERROR(A463),"",C462+IF($D$9="Monthly",1/12,1))</f>
        <v>97.2999999999982</v>
      </c>
      <c r="D463" s="231" t="n">
        <f aca="false">IF(L462&lt;&gt;1, IF(G462&lt;E462,0,D462),IF(L462=1,IFERROR(ROUND(IF($G462 - (E462 * 6) &lt; 0, D462, ($G462 - (E462 * 6)) * $D$8 / 12),2),0) ) )</f>
        <v>0</v>
      </c>
      <c r="E463" s="231" t="n">
        <f aca="false">IF(ISERROR(A463), 0,  MAX(0,   MIN(    ROUND(G462 + D463, 2),    ROUND(FV($S$5, IF(type=1, A463, A462), , IF(J463&lt;&gt;1, -$D$20, -$P$16 + P463), 2), 0)   )  ) )</f>
        <v>25.28</v>
      </c>
      <c r="F463" s="231" t="n">
        <f aca="false">IF(J463&lt;&gt;1, "", IF(J462&lt;&gt;0, F462, $K$12))</f>
        <v>1</v>
      </c>
      <c r="G463" s="232" t="n">
        <f aca="false">IF(ISERROR(A463),"",ROUND(G462-E463+D463,2))</f>
        <v>0</v>
      </c>
      <c r="H463" s="237" t="str">
        <f aca="false">IF(G463&gt;0,IFERROR(H462+(H462*($D$16/12)),""),"")</f>
        <v/>
      </c>
      <c r="I463" s="223" t="str">
        <f aca="false">IF(ISERROR(A464),"",12 - MONTH(B463))</f>
        <v/>
      </c>
      <c r="J463" s="224" t="n">
        <f aca="false">K463</f>
        <v>1</v>
      </c>
      <c r="K463" s="225" t="n">
        <f aca="false">_xlfn.IFNA(IF(B463&gt;=$K$11, 1,0),0)</f>
        <v>1</v>
      </c>
      <c r="L463" s="60" t="str">
        <f aca="false">IF(I463=0,1,"")</f>
        <v/>
      </c>
      <c r="P463" s="4" t="n">
        <f aca="false">IF(AND(G463&gt;E463, A463&lt;&gt;"0.00", V463&lt;&gt;0), $N$5 * ($P$22 ^ V463 - 1), 0)</f>
        <v>0</v>
      </c>
      <c r="V463" s="71" t="n">
        <f aca="false">IF(B463&lt;EDATE($K$11,12), 0,  DATEDIF(EDATE($K$11,12), B463 + 1, "y") + 1 )</f>
        <v>31</v>
      </c>
    </row>
    <row r="464" customFormat="false" ht="12.75" hidden="false" customHeight="true" outlineLevel="0" collapsed="false">
      <c r="A464" s="228" t="e">
        <f aca="false">IF(OR(G463="",G463&lt;=0,C463&gt;150),NA(),A463+1)</f>
        <v>#N/A</v>
      </c>
      <c r="B464" s="229" t="str">
        <f aca="false">IF(ISERROR(A464),"",IF($D$9="Annually",EDATE(B463,12),EDATE(B463,1)))</f>
        <v/>
      </c>
      <c r="C464" s="230" t="str">
        <f aca="false">IF(ISERROR(A464),"",C463+IF($D$9="Monthly",1/12,1))</f>
        <v/>
      </c>
      <c r="D464" s="231" t="n">
        <f aca="false">IF(L463&lt;&gt;1, IF(G463&lt;E463,0,D463),IF(L463=1,IFERROR(ROUND(IF($G463 - (E463 * 6) &lt; 0, D463, ($G463 - (E463 * 6)) * $D$8 / 12),2),0) ) )</f>
        <v>0</v>
      </c>
      <c r="E464" s="231" t="n">
        <f aca="false">IF(ISERROR(A464), 0,  MAX(0,   MIN(    ROUND(G463 + D464, 2),    ROUND(FV($S$5, IF(type=1, A464, A463), , IF(J464&lt;&gt;1, -$D$20, -$P$16 + P464), 2), 0)   )  ) )</f>
        <v>0</v>
      </c>
      <c r="F464" s="231" t="n">
        <f aca="false">IF(J464&lt;&gt;1, "", IF(J463&lt;&gt;0, F463, $K$12))</f>
        <v>1</v>
      </c>
      <c r="G464" s="232" t="str">
        <f aca="false">IF(ISERROR(A464),"",ROUND(G463-E464+D464,2))</f>
        <v/>
      </c>
      <c r="H464" s="237" t="str">
        <f aca="false">IF(G464&gt;0,IFERROR(H463+(H463*($D$16/12)),""),"")</f>
        <v/>
      </c>
      <c r="I464" s="223" t="str">
        <f aca="false">IF(ISERROR(A465),"",12 - MONTH(B464))</f>
        <v/>
      </c>
      <c r="J464" s="224" t="n">
        <f aca="false">K464</f>
        <v>1</v>
      </c>
      <c r="K464" s="225" t="n">
        <f aca="false">_xlfn.IFNA(IF(B464&gt;=$K$11, 1,0),0)</f>
        <v>1</v>
      </c>
      <c r="L464" s="60" t="str">
        <f aca="false">IF(I464=0,1,"")</f>
        <v/>
      </c>
      <c r="P464" s="4" t="e">
        <f aca="false">IF(AND(G464&gt;E464, A464&lt;&gt;"0.00", V464&lt;&gt;0), $N$5 * ($P$22 ^ V464 - 1), 0)</f>
        <v>#N/A</v>
      </c>
      <c r="V464" s="71" t="e">
        <f aca="false">IF(B464&lt;EDATE($K$11,12), 0,  DATEDIF(EDATE($K$11,12), B464 + 1, "y") + 1 )</f>
        <v>#VALUE!</v>
      </c>
    </row>
    <row r="465" customFormat="false" ht="12.75" hidden="false" customHeight="true" outlineLevel="0" collapsed="false">
      <c r="A465" s="228" t="e">
        <f aca="false">IF(OR(G464="",G464&lt;=0,C464&gt;150),NA(),A464+1)</f>
        <v>#N/A</v>
      </c>
      <c r="B465" s="229" t="str">
        <f aca="false">IF(ISERROR(A465),"",IF($D$9="Annually",EDATE(B464,12),EDATE(B464,1)))</f>
        <v/>
      </c>
      <c r="C465" s="230" t="str">
        <f aca="false">IF(ISERROR(A465),"",C464+IF($D$9="Monthly",1/12,1))</f>
        <v/>
      </c>
      <c r="D465" s="231" t="n">
        <f aca="false">IF(L464&lt;&gt;1, IF(G464&lt;E464,0,D464),IF(L464=1,IFERROR(ROUND(IF($G464 - (E464 * 6) &lt; 0, D464, ($G464 - (E464 * 6)) * $D$8 / 12),2),0) ) )</f>
        <v>0</v>
      </c>
      <c r="E465" s="231" t="n">
        <f aca="false">IF(ISERROR(A465), 0,  MAX(0,   MIN(    ROUND(G464 + D465, 2),    ROUND(FV($S$5, IF(type=1, A465, A464), , IF(J465&lt;&gt;1, -$D$20, -$P$16 + P465), 2), 0)   )  ) )</f>
        <v>0</v>
      </c>
      <c r="F465" s="231" t="n">
        <f aca="false">IF(J465&lt;&gt;1, "", IF(J464&lt;&gt;0, F464, $K$12))</f>
        <v>1</v>
      </c>
      <c r="G465" s="232" t="str">
        <f aca="false">IF(ISERROR(A465),"",ROUND(G464-E465+D465,2))</f>
        <v/>
      </c>
      <c r="H465" s="237" t="str">
        <f aca="false">IF(G465&gt;0,IFERROR(H464+(H464*($D$16/12)),""),"")</f>
        <v/>
      </c>
      <c r="I465" s="223" t="str">
        <f aca="false">IF(ISERROR(A466),"",12 - MONTH(B465))</f>
        <v/>
      </c>
      <c r="J465" s="224" t="n">
        <f aca="false">K465</f>
        <v>1</v>
      </c>
      <c r="K465" s="225" t="n">
        <f aca="false">_xlfn.IFNA(IF(B465&gt;=$K$11, 1,0),0)</f>
        <v>1</v>
      </c>
      <c r="L465" s="60" t="str">
        <f aca="false">IF(I465=0,1,"")</f>
        <v/>
      </c>
      <c r="P465" s="4" t="e">
        <f aca="false">IF(AND(G465&gt;E465, A465&lt;&gt;"0.00", V465&lt;&gt;0), $N$5 * ($P$22 ^ V465 - 1), 0)</f>
        <v>#N/A</v>
      </c>
      <c r="V465" s="71" t="e">
        <f aca="false">IF(B465&lt;EDATE($K$11,12), 0,  DATEDIF(EDATE($K$11,12), B465 + 1, "y") + 1 )</f>
        <v>#VALUE!</v>
      </c>
    </row>
    <row r="466" customFormat="false" ht="12.75" hidden="false" customHeight="true" outlineLevel="0" collapsed="false">
      <c r="A466" s="228" t="e">
        <f aca="false">IF(OR(G465="",G465&lt;=0,C465&gt;150),NA(),A465+1)</f>
        <v>#N/A</v>
      </c>
      <c r="B466" s="229" t="str">
        <f aca="false">IF(ISERROR(A466),"",IF($D$9="Annually",EDATE(B465,12),EDATE(B465,1)))</f>
        <v/>
      </c>
      <c r="C466" s="230" t="str">
        <f aca="false">IF(ISERROR(A466),"",C465+IF($D$9="Monthly",1/12,1))</f>
        <v/>
      </c>
      <c r="D466" s="231" t="n">
        <f aca="false">IF(L465&lt;&gt;1, IF(G465&lt;E465,0,D465),IF(L465=1,IFERROR(ROUND(IF($G465 - (E465 * 6) &lt; 0, D465, ($G465 - (E465 * 6)) * $D$8 / 12),2),0) ) )</f>
        <v>0</v>
      </c>
      <c r="E466" s="231" t="n">
        <f aca="false">IF(ISERROR(A466), 0,  MAX(0,   MIN(    ROUND(G465 + D466, 2),    ROUND(FV($S$5, IF(type=1, A466, A465), , IF(J466&lt;&gt;1, -$D$20, -$P$16 + P466), 2), 0)   )  ) )</f>
        <v>0</v>
      </c>
      <c r="F466" s="231" t="n">
        <f aca="false">IF(J466&lt;&gt;1, "", IF(J465&lt;&gt;0, F465, $K$12))</f>
        <v>1</v>
      </c>
      <c r="G466" s="232" t="str">
        <f aca="false">IF(ISERROR(A466),"",ROUND(G465-E466+D466,2))</f>
        <v/>
      </c>
      <c r="H466" s="237" t="str">
        <f aca="false">IF(G466&gt;0,IFERROR(H465+(H465*($D$16/12)),""),"")</f>
        <v/>
      </c>
      <c r="I466" s="223" t="str">
        <f aca="false">IF(ISERROR(A467),"",12 - MONTH(B466))</f>
        <v/>
      </c>
      <c r="J466" s="224" t="n">
        <f aca="false">K466</f>
        <v>1</v>
      </c>
      <c r="K466" s="225" t="n">
        <f aca="false">_xlfn.IFNA(IF(B466&gt;=$K$11, 1,0),0)</f>
        <v>1</v>
      </c>
      <c r="L466" s="60" t="str">
        <f aca="false">IF(I466=0,1,"")</f>
        <v/>
      </c>
      <c r="P466" s="4" t="e">
        <f aca="false">IF(AND(G466&gt;E466, A466&lt;&gt;"0.00", V466&lt;&gt;0), $N$5 * ($P$22 ^ V466 - 1), 0)</f>
        <v>#N/A</v>
      </c>
      <c r="V466" s="71" t="e">
        <f aca="false">IF(B466&lt;EDATE($K$11,12), 0,  DATEDIF(EDATE($K$11,12), B466 + 1, "y") + 1 )</f>
        <v>#VALUE!</v>
      </c>
    </row>
    <row r="467" customFormat="false" ht="12.75" hidden="false" customHeight="true" outlineLevel="0" collapsed="false">
      <c r="A467" s="228" t="e">
        <f aca="false">IF(OR(G466="",G466&lt;=0,C466&gt;150),NA(),A466+1)</f>
        <v>#N/A</v>
      </c>
      <c r="B467" s="229" t="str">
        <f aca="false">IF(ISERROR(A467),"",IF($D$9="Annually",EDATE(B466,12),EDATE(B466,1)))</f>
        <v/>
      </c>
      <c r="C467" s="230" t="str">
        <f aca="false">IF(ISERROR(A467),"",C466+IF($D$9="Monthly",1/12,1))</f>
        <v/>
      </c>
      <c r="D467" s="231" t="n">
        <f aca="false">IF(L466&lt;&gt;1, IF(G466&lt;E466,0,D466),IF(L466=1,IFERROR(ROUND(IF($G466 - (E466 * 6) &lt; 0, D466, ($G466 - (E466 * 6)) * $D$8 / 12),2),0) ) )</f>
        <v>0</v>
      </c>
      <c r="E467" s="231" t="n">
        <f aca="false">IF(ISERROR(A467), 0,  MAX(0,   MIN(    ROUND(G466 + D467, 2),    ROUND(FV($S$5, IF(type=1, A467, A466), , IF(J467&lt;&gt;1, -$D$20, -$P$16 + P467), 2), 0)   )  ) )</f>
        <v>0</v>
      </c>
      <c r="F467" s="231" t="n">
        <f aca="false">IF(J467&lt;&gt;1, "", IF(J466&lt;&gt;0, F466, $K$12))</f>
        <v>1</v>
      </c>
      <c r="G467" s="232" t="str">
        <f aca="false">IF(ISERROR(A467),"",ROUND(G466-E467+D467,2))</f>
        <v/>
      </c>
      <c r="H467" s="237" t="str">
        <f aca="false">IF(G467&gt;0,IFERROR(H466+(H466*($D$16/12)),""),"")</f>
        <v/>
      </c>
      <c r="I467" s="223" t="str">
        <f aca="false">IF(ISERROR(A468),"",12 - MONTH(B467))</f>
        <v/>
      </c>
      <c r="J467" s="224" t="n">
        <f aca="false">K467</f>
        <v>1</v>
      </c>
      <c r="K467" s="225" t="n">
        <f aca="false">_xlfn.IFNA(IF(B467&gt;=$K$11, 1,0),0)</f>
        <v>1</v>
      </c>
      <c r="L467" s="60" t="str">
        <f aca="false">IF(I467=0,1,"")</f>
        <v/>
      </c>
      <c r="P467" s="4" t="e">
        <f aca="false">IF(AND(G467&gt;E467, A467&lt;&gt;"0.00", V467&lt;&gt;0), $N$5 * ($P$22 ^ V467 - 1), 0)</f>
        <v>#N/A</v>
      </c>
      <c r="V467" s="71" t="e">
        <f aca="false">IF(B467&lt;EDATE($K$11,12), 0,  DATEDIF(EDATE($K$11,12), B467 + 1, "y") + 1 )</f>
        <v>#VALUE!</v>
      </c>
    </row>
    <row r="468" customFormat="false" ht="12.75" hidden="false" customHeight="true" outlineLevel="0" collapsed="false">
      <c r="A468" s="228" t="e">
        <f aca="false">IF(OR(G467="",G467&lt;=0,C467&gt;150),NA(),A467+1)</f>
        <v>#N/A</v>
      </c>
      <c r="B468" s="229" t="str">
        <f aca="false">IF(ISERROR(A468),"",IF($D$9="Annually",EDATE(B467,12),EDATE(B467,1)))</f>
        <v/>
      </c>
      <c r="C468" s="230" t="str">
        <f aca="false">IF(ISERROR(A468),"",C467+IF($D$9="Monthly",1/12,1))</f>
        <v/>
      </c>
      <c r="D468" s="231" t="n">
        <f aca="false">IF(L467&lt;&gt;1, IF(G467&lt;E467,0,D467),IF(L467=1,IFERROR(ROUND(IF($G467 - (E467 * 6) &lt; 0, D467, ($G467 - (E467 * 6)) * $D$8 / 12),2),0) ) )</f>
        <v>0</v>
      </c>
      <c r="E468" s="231" t="n">
        <f aca="false">IF(ISERROR(A468), 0,  MAX(0,   MIN(    ROUND(G467 + D468, 2),    ROUND(FV($S$5, IF(type=1, A468, A467), , IF(J468&lt;&gt;1, -$D$20, -$P$16 + P468), 2), 0)   )  ) )</f>
        <v>0</v>
      </c>
      <c r="F468" s="231" t="n">
        <f aca="false">IF(J468&lt;&gt;1, "", IF(J467&lt;&gt;0, F467, $K$12))</f>
        <v>1</v>
      </c>
      <c r="G468" s="232" t="str">
        <f aca="false">IF(ISERROR(A468),"",ROUND(G467-E468+D468,2))</f>
        <v/>
      </c>
      <c r="H468" s="237" t="str">
        <f aca="false">IF(G468&gt;0,IFERROR(H467+(H467*($D$16/12)),""),"")</f>
        <v/>
      </c>
      <c r="I468" s="223" t="str">
        <f aca="false">IF(ISERROR(A469),"",12 - MONTH(B468))</f>
        <v/>
      </c>
      <c r="J468" s="224" t="n">
        <f aca="false">K468</f>
        <v>1</v>
      </c>
      <c r="K468" s="225" t="n">
        <f aca="false">_xlfn.IFNA(IF(B468&gt;=$K$11, 1,0),0)</f>
        <v>1</v>
      </c>
      <c r="L468" s="60" t="str">
        <f aca="false">IF(I468=0,1,"")</f>
        <v/>
      </c>
      <c r="P468" s="4" t="e">
        <f aca="false">IF(AND(G468&gt;E468, A468&lt;&gt;"0.00", V468&lt;&gt;0), $N$5 * ($P$22 ^ V468 - 1), 0)</f>
        <v>#N/A</v>
      </c>
      <c r="V468" s="71" t="e">
        <f aca="false">IF(B468&lt;EDATE($K$11,12), 0,  DATEDIF(EDATE($K$11,12), B468 + 1, "y") + 1 )</f>
        <v>#VALUE!</v>
      </c>
    </row>
    <row r="469" customFormat="false" ht="12.75" hidden="false" customHeight="true" outlineLevel="0" collapsed="false">
      <c r="A469" s="228" t="e">
        <f aca="false">IF(OR(G468="",G468&lt;=0,C468&gt;150),NA(),A468+1)</f>
        <v>#N/A</v>
      </c>
      <c r="B469" s="229" t="str">
        <f aca="false">IF(ISERROR(A469),"",IF($D$9="Annually",EDATE(B468,12),EDATE(B468,1)))</f>
        <v/>
      </c>
      <c r="C469" s="230" t="str">
        <f aca="false">IF(ISERROR(A469),"",C468+IF($D$9="Monthly",1/12,1))</f>
        <v/>
      </c>
      <c r="D469" s="231" t="n">
        <f aca="false">IF(L468&lt;&gt;1, IF(G468&lt;E468,0,D468),IF(L468=1,IFERROR(ROUND(IF($G468 - (E468 * 6) &lt; 0, D468, ($G468 - (E468 * 6)) * $D$8 / 12),2),0) ) )</f>
        <v>0</v>
      </c>
      <c r="E469" s="231" t="n">
        <f aca="false">IF(ISERROR(A469), 0,  MAX(0,   MIN(    ROUND(G468 + D469, 2),    ROUND(FV($S$5, IF(type=1, A469, A468), , IF(J469&lt;&gt;1, -$D$20, -$P$16 + P469), 2), 0)   )  ) )</f>
        <v>0</v>
      </c>
      <c r="F469" s="231" t="n">
        <f aca="false">IF(J469&lt;&gt;1, "", IF(J468&lt;&gt;0, F468, $K$12))</f>
        <v>1</v>
      </c>
      <c r="G469" s="232" t="str">
        <f aca="false">IF(ISERROR(A469),"",ROUND(G468-E469+D469,2))</f>
        <v/>
      </c>
      <c r="H469" s="237" t="str">
        <f aca="false">IF(G469&gt;0,IFERROR(H468+(H468*($D$16/12)),""),"")</f>
        <v/>
      </c>
      <c r="I469" s="223" t="str">
        <f aca="false">IF(ISERROR(A470),"",12 - MONTH(B469))</f>
        <v/>
      </c>
      <c r="J469" s="224" t="n">
        <f aca="false">K469</f>
        <v>1</v>
      </c>
      <c r="K469" s="225" t="n">
        <f aca="false">_xlfn.IFNA(IF(B469&gt;=$K$11, 1,0),0)</f>
        <v>1</v>
      </c>
      <c r="L469" s="60" t="str">
        <f aca="false">IF(I469=0,1,"")</f>
        <v/>
      </c>
      <c r="P469" s="4" t="e">
        <f aca="false">IF(AND(G469&gt;E469, A469&lt;&gt;"0.00", V469&lt;&gt;0), $N$5 * ($P$22 ^ V469 - 1), 0)</f>
        <v>#N/A</v>
      </c>
      <c r="V469" s="71" t="e">
        <f aca="false">IF(B469&lt;EDATE($K$11,12), 0,  DATEDIF(EDATE($K$11,12), B469 + 1, "y") + 1 )</f>
        <v>#VALUE!</v>
      </c>
    </row>
    <row r="470" customFormat="false" ht="12.75" hidden="false" customHeight="true" outlineLevel="0" collapsed="false">
      <c r="A470" s="228" t="e">
        <f aca="false">IF(OR(G469="",G469&lt;=0,C469&gt;150),NA(),A469+1)</f>
        <v>#N/A</v>
      </c>
      <c r="B470" s="229" t="str">
        <f aca="false">IF(ISERROR(A470),"",IF($D$9="Annually",EDATE(B469,12),EDATE(B469,1)))</f>
        <v/>
      </c>
      <c r="C470" s="230" t="str">
        <f aca="false">IF(ISERROR(A470),"",C469+IF($D$9="Monthly",1/12,1))</f>
        <v/>
      </c>
      <c r="D470" s="231" t="n">
        <f aca="false">IF(L469&lt;&gt;1, IF(G469&lt;E469,0,D469),IF(L469=1,IFERROR(ROUND(IF($G469 - (E469 * 6) &lt; 0, D469, ($G469 - (E469 * 6)) * $D$8 / 12),2),0) ) )</f>
        <v>0</v>
      </c>
      <c r="E470" s="231" t="n">
        <f aca="false">IF(ISERROR(A470), 0,  MAX(0,   MIN(    ROUND(G469 + D470, 2),    ROUND(FV($S$5, IF(type=1, A470, A469), , IF(J470&lt;&gt;1, -$D$20, -$P$16 + P470), 2), 0)   )  ) )</f>
        <v>0</v>
      </c>
      <c r="F470" s="231" t="n">
        <f aca="false">IF(J470&lt;&gt;1, "", IF(J469&lt;&gt;0, F469, $K$12))</f>
        <v>1</v>
      </c>
      <c r="G470" s="232" t="str">
        <f aca="false">IF(ISERROR(A470),"",ROUND(G469-E470+D470,2))</f>
        <v/>
      </c>
      <c r="H470" s="237" t="str">
        <f aca="false">IF(G470&gt;0,IFERROR(H469+(H469*($D$16/12)),""),"")</f>
        <v/>
      </c>
      <c r="I470" s="223" t="str">
        <f aca="false">IF(ISERROR(A471),"",12 - MONTH(B470))</f>
        <v/>
      </c>
      <c r="J470" s="224" t="n">
        <f aca="false">K470</f>
        <v>1</v>
      </c>
      <c r="K470" s="225" t="n">
        <f aca="false">_xlfn.IFNA(IF(B470&gt;=$K$11, 1,0),0)</f>
        <v>1</v>
      </c>
      <c r="L470" s="60" t="str">
        <f aca="false">IF(I470=0,1,"")</f>
        <v/>
      </c>
      <c r="P470" s="4" t="e">
        <f aca="false">IF(AND(G470&gt;E470, A470&lt;&gt;"0.00", V470&lt;&gt;0), $N$5 * ($P$22 ^ V470 - 1), 0)</f>
        <v>#N/A</v>
      </c>
      <c r="V470" s="71" t="e">
        <f aca="false">IF(B470&lt;EDATE($K$11,12), 0,  DATEDIF(EDATE($K$11,12), B470 + 1, "y") + 1 )</f>
        <v>#VALUE!</v>
      </c>
    </row>
    <row r="471" customFormat="false" ht="12.75" hidden="false" customHeight="true" outlineLevel="0" collapsed="false">
      <c r="A471" s="228" t="e">
        <f aca="false">IF(OR(G470="",G470&lt;=0,C470&gt;150),NA(),A470+1)</f>
        <v>#N/A</v>
      </c>
      <c r="B471" s="229" t="str">
        <f aca="false">IF(ISERROR(A471),"",IF($D$9="Annually",EDATE(B470,12),EDATE(B470,1)))</f>
        <v/>
      </c>
      <c r="C471" s="230" t="str">
        <f aca="false">IF(ISERROR(A471),"",C470+IF($D$9="Monthly",1/12,1))</f>
        <v/>
      </c>
      <c r="D471" s="231" t="n">
        <f aca="false">IF(L470&lt;&gt;1, IF(G470&lt;E470,0,D470),IF(L470=1,IFERROR(ROUND(IF($G470 - (E470 * 6) &lt; 0, D470, ($G470 - (E470 * 6)) * $D$8 / 12),2),0) ) )</f>
        <v>0</v>
      </c>
      <c r="E471" s="231" t="n">
        <f aca="false">IF(ISERROR(A471), 0,  MAX(0,   MIN(    ROUND(G470 + D471, 2),    ROUND(FV($S$5, IF(type=1, A471, A470), , IF(J471&lt;&gt;1, -$D$20, -$P$16 + P471), 2), 0)   )  ) )</f>
        <v>0</v>
      </c>
      <c r="F471" s="231" t="n">
        <f aca="false">IF(J471&lt;&gt;1, "", IF(J470&lt;&gt;0, F470, $K$12))</f>
        <v>1</v>
      </c>
      <c r="G471" s="232" t="str">
        <f aca="false">IF(ISERROR(A471),"",ROUND(G470-E471+D471,2))</f>
        <v/>
      </c>
      <c r="H471" s="237" t="str">
        <f aca="false">IF(G471&gt;0,IFERROR(H470+(H470*($D$16/12)),""),"")</f>
        <v/>
      </c>
      <c r="I471" s="223" t="str">
        <f aca="false">IF(ISERROR(A472),"",12 - MONTH(B471))</f>
        <v/>
      </c>
      <c r="J471" s="224" t="n">
        <f aca="false">K471</f>
        <v>1</v>
      </c>
      <c r="K471" s="225" t="n">
        <f aca="false">_xlfn.IFNA(IF(B471&gt;=$K$11, 1,0),0)</f>
        <v>1</v>
      </c>
      <c r="L471" s="60" t="str">
        <f aca="false">IF(I471=0,1,"")</f>
        <v/>
      </c>
      <c r="P471" s="4" t="e">
        <f aca="false">IF(AND(G471&gt;E471, A471&lt;&gt;"0.00", V471&lt;&gt;0), $N$5 * ($P$22 ^ V471 - 1), 0)</f>
        <v>#N/A</v>
      </c>
      <c r="V471" s="71" t="e">
        <f aca="false">IF(B471&lt;EDATE($K$11,12), 0,  DATEDIF(EDATE($K$11,12), B471 + 1, "y") + 1 )</f>
        <v>#VALUE!</v>
      </c>
    </row>
    <row r="472" customFormat="false" ht="12.75" hidden="false" customHeight="true" outlineLevel="0" collapsed="false">
      <c r="A472" s="228" t="e">
        <f aca="false">IF(OR(G471="",G471&lt;=0,C471&gt;150),NA(),A471+1)</f>
        <v>#N/A</v>
      </c>
      <c r="B472" s="229" t="str">
        <f aca="false">IF(ISERROR(A472),"",IF($D$9="Annually",EDATE(B471,12),EDATE(B471,1)))</f>
        <v/>
      </c>
      <c r="C472" s="230" t="str">
        <f aca="false">IF(ISERROR(A472),"",C471+IF($D$9="Monthly",1/12,1))</f>
        <v/>
      </c>
      <c r="D472" s="231" t="n">
        <f aca="false">IF(L471&lt;&gt;1, IF(G471&lt;E471,0,D471),IF(L471=1,IFERROR(ROUND(IF($G471 - (E471 * 6) &lt; 0, D471, ($G471 - (E471 * 6)) * $D$8 / 12),2),0) ) )</f>
        <v>0</v>
      </c>
      <c r="E472" s="231" t="n">
        <f aca="false">IF(ISERROR(A472), 0,  MAX(0,   MIN(    ROUND(G471 + D472, 2),    ROUND(FV($S$5, IF(type=1, A472, A471), , IF(J472&lt;&gt;1, -$D$20, -$P$16 + P472), 2), 0)   )  ) )</f>
        <v>0</v>
      </c>
      <c r="F472" s="231" t="n">
        <f aca="false">IF(J472&lt;&gt;1, "", IF(J471&lt;&gt;0, F471, $K$12))</f>
        <v>1</v>
      </c>
      <c r="G472" s="232" t="str">
        <f aca="false">IF(ISERROR(A472),"",ROUND(G471-E472+D472,2))</f>
        <v/>
      </c>
      <c r="H472" s="237" t="str">
        <f aca="false">IF(G472&gt;0,IFERROR(H471+(H471*($D$16/12)),""),"")</f>
        <v/>
      </c>
      <c r="I472" s="223" t="str">
        <f aca="false">IF(ISERROR(A473),"",12 - MONTH(B472))</f>
        <v/>
      </c>
      <c r="J472" s="224" t="n">
        <f aca="false">K472</f>
        <v>1</v>
      </c>
      <c r="K472" s="225" t="n">
        <f aca="false">_xlfn.IFNA(IF(B472&gt;=$K$11, 1,0),0)</f>
        <v>1</v>
      </c>
      <c r="L472" s="60" t="str">
        <f aca="false">IF(I472=0,1,"")</f>
        <v/>
      </c>
      <c r="P472" s="4" t="e">
        <f aca="false">IF(AND(G472&gt;E472, A472&lt;&gt;"0.00", V472&lt;&gt;0), $N$5 * ($P$22 ^ V472 - 1), 0)</f>
        <v>#N/A</v>
      </c>
      <c r="V472" s="71" t="e">
        <f aca="false">IF(B472&lt;EDATE($K$11,12), 0,  DATEDIF(EDATE($K$11,12), B472 + 1, "y") + 1 )</f>
        <v>#VALUE!</v>
      </c>
    </row>
    <row r="473" customFormat="false" ht="12.75" hidden="false" customHeight="true" outlineLevel="0" collapsed="false">
      <c r="A473" s="228" t="e">
        <f aca="false">IF(OR(G472="",G472&lt;=0,C472&gt;150),NA(),A472+1)</f>
        <v>#N/A</v>
      </c>
      <c r="B473" s="229" t="str">
        <f aca="false">IF(ISERROR(A473),"",IF($D$9="Annually",EDATE(B472,12),EDATE(B472,1)))</f>
        <v/>
      </c>
      <c r="C473" s="230" t="str">
        <f aca="false">IF(ISERROR(A473),"",C472+IF($D$9="Monthly",1/12,1))</f>
        <v/>
      </c>
      <c r="D473" s="231" t="n">
        <f aca="false">IF(L472&lt;&gt;1, IF(G472&lt;E472,0,D472),IF(L472=1,IFERROR(ROUND(IF($G472 - (E472 * 6) &lt; 0, D472, ($G472 - (E472 * 6)) * $D$8 / 12),2),0) ) )</f>
        <v>0</v>
      </c>
      <c r="E473" s="231" t="n">
        <f aca="false">IF(ISERROR(A473), 0,  MAX(0,   MIN(    ROUND(G472 + D473, 2),    ROUND(FV($S$5, IF(type=1, A473, A472), , IF(J473&lt;&gt;1, -$D$20, -$P$16 + P473), 2), 0)   )  ) )</f>
        <v>0</v>
      </c>
      <c r="F473" s="231" t="n">
        <f aca="false">IF(J473&lt;&gt;1, "", IF(J472&lt;&gt;0, F472, $K$12))</f>
        <v>1</v>
      </c>
      <c r="G473" s="232" t="str">
        <f aca="false">IF(ISERROR(A473),"",ROUND(G472-E473+D473,2))</f>
        <v/>
      </c>
      <c r="H473" s="237" t="str">
        <f aca="false">IF(G473&gt;0,IFERROR(H472+(H472*($D$16/12)),""),"")</f>
        <v/>
      </c>
      <c r="I473" s="223" t="str">
        <f aca="false">IF(ISERROR(A474),"",12 - MONTH(B473))</f>
        <v/>
      </c>
      <c r="J473" s="224" t="n">
        <f aca="false">K473</f>
        <v>1</v>
      </c>
      <c r="K473" s="225" t="n">
        <f aca="false">_xlfn.IFNA(IF(B473&gt;=$K$11, 1,0),0)</f>
        <v>1</v>
      </c>
      <c r="L473" s="60" t="str">
        <f aca="false">IF(I473=0,1,"")</f>
        <v/>
      </c>
      <c r="P473" s="4" t="e">
        <f aca="false">IF(AND(G473&gt;E473, A473&lt;&gt;"0.00", V473&lt;&gt;0), $N$5 * ($P$22 ^ V473 - 1), 0)</f>
        <v>#N/A</v>
      </c>
      <c r="V473" s="71" t="e">
        <f aca="false">IF(B473&lt;EDATE($K$11,12), 0,  DATEDIF(EDATE($K$11,12), B473 + 1, "y") + 1 )</f>
        <v>#VALUE!</v>
      </c>
    </row>
    <row r="474" customFormat="false" ht="12.75" hidden="false" customHeight="true" outlineLevel="0" collapsed="false">
      <c r="A474" s="228" t="e">
        <f aca="false">IF(OR(G473="",G473&lt;=0,C473&gt;150),NA(),A473+1)</f>
        <v>#N/A</v>
      </c>
      <c r="B474" s="229" t="str">
        <f aca="false">IF(ISERROR(A474),"",IF($D$9="Annually",EDATE(B473,12),EDATE(B473,1)))</f>
        <v/>
      </c>
      <c r="C474" s="230" t="str">
        <f aca="false">IF(ISERROR(A474),"",C473+IF($D$9="Monthly",1/12,1))</f>
        <v/>
      </c>
      <c r="D474" s="231" t="n">
        <f aca="false">IF(L473&lt;&gt;1, IF(G473&lt;E473,0,D473),IF(L473=1,IFERROR(ROUND(IF($G473 - (E473 * 6) &lt; 0, D473, ($G473 - (E473 * 6)) * $D$8 / 12),2),0) ) )</f>
        <v>0</v>
      </c>
      <c r="E474" s="231" t="n">
        <f aca="false">IF(ISERROR(A474), 0,  MAX(0,   MIN(    ROUND(G473 + D474, 2),    ROUND(FV($S$5, IF(type=1, A474, A473), , IF(J474&lt;&gt;1, -$D$20, -$P$16 + P474), 2), 0)   )  ) )</f>
        <v>0</v>
      </c>
      <c r="F474" s="231" t="n">
        <f aca="false">IF(J474&lt;&gt;1, "", IF(J473&lt;&gt;0, F473, $K$12))</f>
        <v>1</v>
      </c>
      <c r="G474" s="232" t="str">
        <f aca="false">IF(ISERROR(A474),"",ROUND(G473-E474+D474,2))</f>
        <v/>
      </c>
      <c r="H474" s="237" t="str">
        <f aca="false">IF(G474&gt;0,IFERROR(H473+(H473*($D$16/12)),""),"")</f>
        <v/>
      </c>
      <c r="I474" s="223" t="str">
        <f aca="false">IF(ISERROR(A475),"",12 - MONTH(B474))</f>
        <v/>
      </c>
      <c r="J474" s="224" t="n">
        <f aca="false">K474</f>
        <v>1</v>
      </c>
      <c r="K474" s="225" t="n">
        <f aca="false">_xlfn.IFNA(IF(B474&gt;=$K$11, 1,0),0)</f>
        <v>1</v>
      </c>
      <c r="L474" s="60" t="str">
        <f aca="false">IF(I474=0,1,"")</f>
        <v/>
      </c>
      <c r="P474" s="4" t="e">
        <f aca="false">IF(AND(G474&gt;E474, A474&lt;&gt;"0.00", V474&lt;&gt;0), $N$5 * ($P$22 ^ V474 - 1), 0)</f>
        <v>#N/A</v>
      </c>
      <c r="V474" s="71" t="e">
        <f aca="false">IF(B474&lt;EDATE($K$11,12), 0,  DATEDIF(EDATE($K$11,12), B474 + 1, "y") + 1 )</f>
        <v>#VALUE!</v>
      </c>
    </row>
    <row r="475" customFormat="false" ht="12.75" hidden="false" customHeight="true" outlineLevel="0" collapsed="false">
      <c r="A475" s="228" t="e">
        <f aca="false">IF(OR(G474="",G474&lt;=0,C474&gt;150),NA(),A474+1)</f>
        <v>#N/A</v>
      </c>
      <c r="B475" s="229" t="str">
        <f aca="false">IF(ISERROR(A475),"",IF($D$9="Annually",EDATE(B474,12),EDATE(B474,1)))</f>
        <v/>
      </c>
      <c r="C475" s="230" t="str">
        <f aca="false">IF(ISERROR(A475),"",C474+IF($D$9="Monthly",1/12,1))</f>
        <v/>
      </c>
      <c r="D475" s="231" t="n">
        <f aca="false">IF(L474&lt;&gt;1, IF(G474&lt;E474,0,D474),IF(L474=1,IFERROR(ROUND(IF($G474 - (E474 * 6) &lt; 0, D474, ($G474 - (E474 * 6)) * $D$8 / 12),2),0) ) )</f>
        <v>0</v>
      </c>
      <c r="E475" s="231" t="n">
        <f aca="false">IF(ISERROR(A475), 0,  MAX(0,   MIN(    ROUND(G474 + D475, 2),    ROUND(FV($S$5, IF(type=1, A475, A474), , IF(J475&lt;&gt;1, -$D$20, -$P$16 + P475), 2), 0)   )  ) )</f>
        <v>0</v>
      </c>
      <c r="F475" s="231" t="n">
        <f aca="false">IF(J475&lt;&gt;1, "", IF(J474&lt;&gt;0, F474, $K$12))</f>
        <v>1</v>
      </c>
      <c r="G475" s="232" t="str">
        <f aca="false">IF(ISERROR(A475),"",ROUND(G474-E475+D475,2))</f>
        <v/>
      </c>
      <c r="H475" s="237" t="str">
        <f aca="false">IF(G475&gt;0,IFERROR(H474+(H474*($D$16/12)),""),"")</f>
        <v/>
      </c>
      <c r="I475" s="223" t="str">
        <f aca="false">IF(ISERROR(A476),"",12 - MONTH(B475))</f>
        <v/>
      </c>
      <c r="J475" s="224" t="n">
        <f aca="false">K475</f>
        <v>1</v>
      </c>
      <c r="K475" s="225" t="n">
        <f aca="false">_xlfn.IFNA(IF(B475&gt;=$K$11, 1,0),0)</f>
        <v>1</v>
      </c>
      <c r="L475" s="60" t="str">
        <f aca="false">IF(I475=0,1,"")</f>
        <v/>
      </c>
      <c r="P475" s="4" t="e">
        <f aca="false">IF(AND(G475&gt;E475, A475&lt;&gt;"0.00", V475&lt;&gt;0), $N$5 * ($P$22 ^ V475 - 1), 0)</f>
        <v>#N/A</v>
      </c>
      <c r="V475" s="71" t="e">
        <f aca="false">IF(B475&lt;EDATE($K$11,12), 0,  DATEDIF(EDATE($K$11,12), B475 + 1, "y") + 1 )</f>
        <v>#VALUE!</v>
      </c>
    </row>
    <row r="476" customFormat="false" ht="12.75" hidden="false" customHeight="true" outlineLevel="0" collapsed="false">
      <c r="A476" s="228" t="e">
        <f aca="false">IF(OR(G475="",G475&lt;=0,C475&gt;150),NA(),A475+1)</f>
        <v>#N/A</v>
      </c>
      <c r="B476" s="229" t="str">
        <f aca="false">IF(ISERROR(A476),"",IF($D$9="Annually",EDATE(B475,12),EDATE(B475,1)))</f>
        <v/>
      </c>
      <c r="C476" s="230" t="str">
        <f aca="false">IF(ISERROR(A476),"",C475+IF($D$9="Monthly",1/12,1))</f>
        <v/>
      </c>
      <c r="D476" s="231" t="n">
        <f aca="false">IF(L475&lt;&gt;1, IF(G475&lt;E475,0,D475),IF(L475=1,IFERROR(ROUND(IF($G475 - (E475 * 6) &lt; 0, D475, ($G475 - (E475 * 6)) * $D$8 / 12),2),0) ) )</f>
        <v>0</v>
      </c>
      <c r="E476" s="231" t="n">
        <f aca="false">IF(ISERROR(A476), 0,  MAX(0,   MIN(    ROUND(G475 + D476, 2),    ROUND(FV($S$5, IF(type=1, A476, A475), , IF(J476&lt;&gt;1, -$D$20, -$P$16 + P476), 2), 0)   )  ) )</f>
        <v>0</v>
      </c>
      <c r="F476" s="231" t="n">
        <f aca="false">IF(J476&lt;&gt;1, "", IF(J475&lt;&gt;0, F475, $K$12))</f>
        <v>1</v>
      </c>
      <c r="G476" s="232" t="str">
        <f aca="false">IF(ISERROR(A476),"",ROUND(G475-E476+D476,2))</f>
        <v/>
      </c>
      <c r="H476" s="237" t="str">
        <f aca="false">IF(G476&gt;0,IFERROR(H475+(H475*($D$16/12)),""),"")</f>
        <v/>
      </c>
      <c r="I476" s="223" t="str">
        <f aca="false">IF(ISERROR(A477),"",12 - MONTH(B476))</f>
        <v/>
      </c>
      <c r="J476" s="224" t="n">
        <f aca="false">K476</f>
        <v>1</v>
      </c>
      <c r="K476" s="225" t="n">
        <f aca="false">_xlfn.IFNA(IF(B476&gt;=$K$11, 1,0),0)</f>
        <v>1</v>
      </c>
      <c r="L476" s="60" t="str">
        <f aca="false">IF(I476=0,1,"")</f>
        <v/>
      </c>
      <c r="P476" s="4" t="e">
        <f aca="false">IF(AND(G476&gt;E476, A476&lt;&gt;"0.00", V476&lt;&gt;0), $N$5 * ($P$22 ^ V476 - 1), 0)</f>
        <v>#N/A</v>
      </c>
      <c r="V476" s="71" t="e">
        <f aca="false">IF(B476&lt;EDATE($K$11,12), 0,  DATEDIF(EDATE($K$11,12), B476 + 1, "y") + 1 )</f>
        <v>#VALUE!</v>
      </c>
    </row>
    <row r="477" customFormat="false" ht="12.75" hidden="false" customHeight="true" outlineLevel="0" collapsed="false">
      <c r="A477" s="228" t="e">
        <f aca="false">IF(OR(G476="",G476&lt;=0,C476&gt;150),NA(),A476+1)</f>
        <v>#N/A</v>
      </c>
      <c r="B477" s="229" t="str">
        <f aca="false">IF(ISERROR(A477),"",IF($D$9="Annually",EDATE(B476,12),EDATE(B476,1)))</f>
        <v/>
      </c>
      <c r="C477" s="230" t="str">
        <f aca="false">IF(ISERROR(A477),"",C476+IF($D$9="Monthly",1/12,1))</f>
        <v/>
      </c>
      <c r="D477" s="231" t="n">
        <f aca="false">IF(L476&lt;&gt;1, IF(G476&lt;E476,0,D476),IF(L476=1,IFERROR(ROUND(IF($G476 - (E476 * 6) &lt; 0, D476, ($G476 - (E476 * 6)) * $D$8 / 12),2),0) ) )</f>
        <v>0</v>
      </c>
      <c r="E477" s="231" t="n">
        <f aca="false">IF(ISERROR(A477), 0,  MAX(0,   MIN(    ROUND(G476 + D477, 2),    ROUND(FV($S$5, IF(type=1, A477, A476), , IF(J477&lt;&gt;1, -$D$20, -$P$16 + P477), 2), 0)   )  ) )</f>
        <v>0</v>
      </c>
      <c r="F477" s="231" t="n">
        <f aca="false">IF(J477&lt;&gt;1, "", IF(J476&lt;&gt;0, F476, $K$12))</f>
        <v>1</v>
      </c>
      <c r="G477" s="232" t="str">
        <f aca="false">IF(ISERROR(A477),"",ROUND(G476-E477+D477,2))</f>
        <v/>
      </c>
      <c r="H477" s="237" t="str">
        <f aca="false">IF(G477&gt;0,IFERROR(H476+(H476*($D$16/12)),""),"")</f>
        <v/>
      </c>
      <c r="I477" s="223" t="str">
        <f aca="false">IF(ISERROR(A478),"",12 - MONTH(B477))</f>
        <v/>
      </c>
      <c r="J477" s="224" t="n">
        <f aca="false">K477</f>
        <v>1</v>
      </c>
      <c r="K477" s="225" t="n">
        <f aca="false">_xlfn.IFNA(IF(B477&gt;=$K$11, 1,0),0)</f>
        <v>1</v>
      </c>
      <c r="L477" s="60" t="str">
        <f aca="false">IF(I477=0,1,"")</f>
        <v/>
      </c>
      <c r="P477" s="4" t="e">
        <f aca="false">IF(AND(G477&gt;E477, A477&lt;&gt;"0.00", V477&lt;&gt;0), $N$5 * ($P$22 ^ V477 - 1), 0)</f>
        <v>#N/A</v>
      </c>
      <c r="V477" s="71" t="e">
        <f aca="false">IF(B477&lt;EDATE($K$11,12), 0,  DATEDIF(EDATE($K$11,12), B477 + 1, "y") + 1 )</f>
        <v>#VALUE!</v>
      </c>
    </row>
    <row r="478" customFormat="false" ht="12.75" hidden="false" customHeight="true" outlineLevel="0" collapsed="false">
      <c r="A478" s="228" t="e">
        <f aca="false">IF(OR(G477="",G477&lt;=0,C477&gt;150),NA(),A477+1)</f>
        <v>#N/A</v>
      </c>
      <c r="B478" s="229" t="str">
        <f aca="false">IF(ISERROR(A478),"",IF($D$9="Annually",EDATE(B477,12),EDATE(B477,1)))</f>
        <v/>
      </c>
      <c r="C478" s="230" t="str">
        <f aca="false">IF(ISERROR(A478),"",C477+IF($D$9="Monthly",1/12,1))</f>
        <v/>
      </c>
      <c r="D478" s="231" t="n">
        <f aca="false">IF(L477&lt;&gt;1, IF(G477&lt;E477,0,D477),IF(L477=1,IFERROR(ROUND(IF($G477 - (E477 * 6) &lt; 0, D477, ($G477 - (E477 * 6)) * $D$8 / 12),2),0) ) )</f>
        <v>0</v>
      </c>
      <c r="E478" s="231" t="n">
        <f aca="false">IF(ISERROR(A478), 0,  MAX(0,   MIN(    ROUND(G477 + D478, 2),    ROUND(FV($S$5, IF(type=1, A478, A477), , IF(J478&lt;&gt;1, -$D$20, -$P$16 + P478), 2), 0)   )  ) )</f>
        <v>0</v>
      </c>
      <c r="F478" s="231" t="n">
        <f aca="false">IF(J478&lt;&gt;1, "", IF(J477&lt;&gt;0, F477, $K$12))</f>
        <v>1</v>
      </c>
      <c r="G478" s="232" t="str">
        <f aca="false">IF(ISERROR(A478),"",ROUND(G477-E478+D478,2))</f>
        <v/>
      </c>
      <c r="H478" s="237" t="str">
        <f aca="false">IF(G478&gt;0,IFERROR(H477+(H477*($D$16/12)),""),"")</f>
        <v/>
      </c>
      <c r="I478" s="223" t="str">
        <f aca="false">IF(ISERROR(A479),"",12 - MONTH(B478))</f>
        <v/>
      </c>
      <c r="J478" s="224" t="n">
        <f aca="false">K478</f>
        <v>1</v>
      </c>
      <c r="K478" s="225" t="n">
        <f aca="false">_xlfn.IFNA(IF(B478&gt;=$K$11, 1,0),0)</f>
        <v>1</v>
      </c>
      <c r="L478" s="60" t="str">
        <f aca="false">IF(I478=0,1,"")</f>
        <v/>
      </c>
      <c r="P478" s="4" t="e">
        <f aca="false">IF(AND(G478&gt;E478, A478&lt;&gt;"0.00", V478&lt;&gt;0), $N$5 * ($P$22 ^ V478 - 1), 0)</f>
        <v>#N/A</v>
      </c>
      <c r="V478" s="71" t="e">
        <f aca="false">IF(B478&lt;EDATE($K$11,12), 0,  DATEDIF(EDATE($K$11,12), B478 + 1, "y") + 1 )</f>
        <v>#VALUE!</v>
      </c>
    </row>
    <row r="479" customFormat="false" ht="12.75" hidden="false" customHeight="true" outlineLevel="0" collapsed="false">
      <c r="A479" s="228" t="e">
        <f aca="false">IF(OR(G478="",G478&lt;=0,C478&gt;150),NA(),A478+1)</f>
        <v>#N/A</v>
      </c>
      <c r="B479" s="229" t="str">
        <f aca="false">IF(ISERROR(A479),"",IF($D$9="Annually",EDATE(B478,12),EDATE(B478,1)))</f>
        <v/>
      </c>
      <c r="C479" s="230" t="str">
        <f aca="false">IF(ISERROR(A479),"",C478+IF($D$9="Monthly",1/12,1))</f>
        <v/>
      </c>
      <c r="D479" s="231" t="n">
        <f aca="false">IF(L478&lt;&gt;1, IF(G478&lt;E478,0,D478),IF(L478=1,IFERROR(ROUND(IF($G478 - (E478 * 6) &lt; 0, D478, ($G478 - (E478 * 6)) * $D$8 / 12),2),0) ) )</f>
        <v>0</v>
      </c>
      <c r="E479" s="231" t="n">
        <f aca="false">IF(ISERROR(A479), 0,  MAX(0,   MIN(    ROUND(G478 + D479, 2),    ROUND(FV($S$5, IF(type=1, A479, A478), , IF(J479&lt;&gt;1, -$D$20, -$P$16 + P479), 2), 0)   )  ) )</f>
        <v>0</v>
      </c>
      <c r="F479" s="231" t="n">
        <f aca="false">IF(J479&lt;&gt;1, "", IF(J478&lt;&gt;0, F478, $K$12))</f>
        <v>1</v>
      </c>
      <c r="G479" s="232" t="str">
        <f aca="false">IF(ISERROR(A479),"",ROUND(G478-E479+D479,2))</f>
        <v/>
      </c>
      <c r="H479" s="237" t="str">
        <f aca="false">IF(G479&gt;0,IFERROR(H478+(H478*($D$16/12)),""),"")</f>
        <v/>
      </c>
      <c r="I479" s="223" t="str">
        <f aca="false">IF(ISERROR(A480),"",12 - MONTH(B479))</f>
        <v/>
      </c>
      <c r="J479" s="224" t="n">
        <f aca="false">K479</f>
        <v>1</v>
      </c>
      <c r="K479" s="225" t="n">
        <f aca="false">_xlfn.IFNA(IF(B479&gt;=$K$11, 1,0),0)</f>
        <v>1</v>
      </c>
      <c r="L479" s="60" t="str">
        <f aca="false">IF(I479=0,1,"")</f>
        <v/>
      </c>
      <c r="P479" s="4" t="e">
        <f aca="false">IF(AND(G479&gt;E479, A479&lt;&gt;"0.00", V479&lt;&gt;0), $N$5 * ($P$22 ^ V479 - 1), 0)</f>
        <v>#N/A</v>
      </c>
      <c r="V479" s="71" t="e">
        <f aca="false">IF(B479&lt;EDATE($K$11,12), 0,  DATEDIF(EDATE($K$11,12), B479 + 1, "y") + 1 )</f>
        <v>#VALUE!</v>
      </c>
    </row>
    <row r="480" customFormat="false" ht="12.75" hidden="false" customHeight="true" outlineLevel="0" collapsed="false">
      <c r="A480" s="228" t="e">
        <f aca="false">IF(OR(G479="",G479&lt;=0,C479&gt;150),NA(),A479+1)</f>
        <v>#N/A</v>
      </c>
      <c r="B480" s="229" t="str">
        <f aca="false">IF(ISERROR(A480),"",IF($D$9="Annually",EDATE(B479,12),EDATE(B479,1)))</f>
        <v/>
      </c>
      <c r="C480" s="230" t="str">
        <f aca="false">IF(ISERROR(A480),"",C479+IF($D$9="Monthly",1/12,1))</f>
        <v/>
      </c>
      <c r="D480" s="231" t="n">
        <f aca="false">IF(L479&lt;&gt;1, IF(G479&lt;E479,0,D479),IF(L479=1,IFERROR(ROUND(IF($G479 - (E479 * 6) &lt; 0, D479, ($G479 - (E479 * 6)) * $D$8 / 12),2),0) ) )</f>
        <v>0</v>
      </c>
      <c r="E480" s="231" t="n">
        <f aca="false">IF(ISERROR(A480), 0,  MAX(0,   MIN(    ROUND(G479 + D480, 2),    ROUND(FV($S$5, IF(type=1, A480, A479), , IF(J480&lt;&gt;1, -$D$20, -$P$16 + P480), 2), 0)   )  ) )</f>
        <v>0</v>
      </c>
      <c r="F480" s="231" t="n">
        <f aca="false">IF(J480&lt;&gt;1, "", IF(J479&lt;&gt;0, F479, $K$12))</f>
        <v>1</v>
      </c>
      <c r="G480" s="232" t="str">
        <f aca="false">IF(ISERROR(A480),"",ROUND(G479-E480+D480,2))</f>
        <v/>
      </c>
      <c r="H480" s="237" t="str">
        <f aca="false">IF(G480&gt;0,IFERROR(H479+(H479*($D$16/12)),""),"")</f>
        <v/>
      </c>
      <c r="I480" s="223" t="str">
        <f aca="false">IF(ISERROR(A481),"",12 - MONTH(B480))</f>
        <v/>
      </c>
      <c r="J480" s="224" t="n">
        <f aca="false">K480</f>
        <v>1</v>
      </c>
      <c r="K480" s="225" t="n">
        <f aca="false">_xlfn.IFNA(IF(B480&gt;=$K$11, 1,0),0)</f>
        <v>1</v>
      </c>
      <c r="L480" s="60" t="str">
        <f aca="false">IF(I480=0,1,"")</f>
        <v/>
      </c>
      <c r="P480" s="4" t="e">
        <f aca="false">IF(AND(G480&gt;E480, A480&lt;&gt;"0.00", V480&lt;&gt;0), $N$5 * ($P$22 ^ V480 - 1), 0)</f>
        <v>#N/A</v>
      </c>
      <c r="V480" s="71" t="e">
        <f aca="false">IF(B480&lt;EDATE($K$11,12), 0,  DATEDIF(EDATE($K$11,12), B480 + 1, "y") + 1 )</f>
        <v>#VALUE!</v>
      </c>
    </row>
    <row r="481" customFormat="false" ht="12.75" hidden="false" customHeight="true" outlineLevel="0" collapsed="false">
      <c r="A481" s="228" t="e">
        <f aca="false">IF(OR(G480="",G480&lt;=0,C480&gt;150),NA(),A480+1)</f>
        <v>#N/A</v>
      </c>
      <c r="B481" s="229" t="str">
        <f aca="false">IF(ISERROR(A481),"",IF($D$9="Annually",EDATE(B480,12),EDATE(B480,1)))</f>
        <v/>
      </c>
      <c r="C481" s="230" t="str">
        <f aca="false">IF(ISERROR(A481),"",C480+IF($D$9="Monthly",1/12,1))</f>
        <v/>
      </c>
      <c r="D481" s="231" t="n">
        <f aca="false">IF(L480&lt;&gt;1, IF(G480&lt;E480,0,D480),IF(L480=1,IFERROR(ROUND(IF($G480 - (E480 * 6) &lt; 0, D480, ($G480 - (E480 * 6)) * $D$8 / 12),2),0) ) )</f>
        <v>0</v>
      </c>
      <c r="E481" s="231" t="n">
        <f aca="false">IF(ISERROR(A481), 0,  MAX(0,   MIN(    ROUND(G480 + D481, 2),    ROUND(FV($S$5, IF(type=1, A481, A480), , IF(J481&lt;&gt;1, -$D$20, -$P$16 + P481), 2), 0)   )  ) )</f>
        <v>0</v>
      </c>
      <c r="F481" s="231" t="n">
        <f aca="false">IF(J481&lt;&gt;1, "", IF(J480&lt;&gt;0, F480, $K$12))</f>
        <v>1</v>
      </c>
      <c r="G481" s="232" t="str">
        <f aca="false">IF(ISERROR(A481),"",ROUND(G480-E481+D481,2))</f>
        <v/>
      </c>
      <c r="H481" s="237" t="str">
        <f aca="false">IF(G481&gt;0,IFERROR(H480+(H480*($D$16/12)),""),"")</f>
        <v/>
      </c>
      <c r="I481" s="223" t="str">
        <f aca="false">IF(ISERROR(A482),"",12 - MONTH(B481))</f>
        <v/>
      </c>
      <c r="J481" s="224" t="n">
        <f aca="false">K481</f>
        <v>1</v>
      </c>
      <c r="K481" s="225" t="n">
        <f aca="false">_xlfn.IFNA(IF(B481&gt;=$K$11, 1,0),0)</f>
        <v>1</v>
      </c>
      <c r="L481" s="60" t="str">
        <f aca="false">IF(I481=0,1,"")</f>
        <v/>
      </c>
      <c r="P481" s="4" t="e">
        <f aca="false">IF(AND(G481&gt;E481, A481&lt;&gt;"0.00", V481&lt;&gt;0), $N$5 * ($P$22 ^ V481 - 1), 0)</f>
        <v>#N/A</v>
      </c>
      <c r="V481" s="71" t="e">
        <f aca="false">IF(B481&lt;EDATE($K$11,12), 0,  DATEDIF(EDATE($K$11,12), B481 + 1, "y") + 1 )</f>
        <v>#VALUE!</v>
      </c>
    </row>
    <row r="482" customFormat="false" ht="12.75" hidden="false" customHeight="true" outlineLevel="0" collapsed="false">
      <c r="A482" s="228" t="e">
        <f aca="false">IF(OR(G481="",G481&lt;=0,C481&gt;150),NA(),A481+1)</f>
        <v>#N/A</v>
      </c>
      <c r="B482" s="229" t="str">
        <f aca="false">IF(ISERROR(A482),"",IF($D$9="Annually",EDATE(B481,12),EDATE(B481,1)))</f>
        <v/>
      </c>
      <c r="C482" s="230" t="str">
        <f aca="false">IF(ISERROR(A482),"",C481+IF($D$9="Monthly",1/12,1))</f>
        <v/>
      </c>
      <c r="D482" s="231" t="n">
        <f aca="false">IF(L481&lt;&gt;1, IF(G481&lt;E481,0,D481),IF(L481=1,IFERROR(ROUND(IF($G481 - (E481 * 6) &lt; 0, D481, ($G481 - (E481 * 6)) * $D$8 / 12),2),0) ) )</f>
        <v>0</v>
      </c>
      <c r="E482" s="231" t="n">
        <f aca="false">IF(ISERROR(A482), 0,  MAX(0,   MIN(    ROUND(G481 + D482, 2),    ROUND(FV($S$5, IF(type=1, A482, A481), , IF(J482&lt;&gt;1, -$D$20, -$P$16 + P482), 2), 0)   )  ) )</f>
        <v>0</v>
      </c>
      <c r="F482" s="231" t="n">
        <f aca="false">IF(J482&lt;&gt;1, "", IF(J481&lt;&gt;0, F481, $K$12))</f>
        <v>1</v>
      </c>
      <c r="G482" s="232" t="str">
        <f aca="false">IF(ISERROR(A482),"",ROUND(G481-E482+D482,2))</f>
        <v/>
      </c>
      <c r="H482" s="237" t="str">
        <f aca="false">IF(G482&gt;0,IFERROR(H481+(H481*($D$16/12)),""),"")</f>
        <v/>
      </c>
      <c r="I482" s="223" t="str">
        <f aca="false">IF(ISERROR(A483),"",12 - MONTH(B482))</f>
        <v/>
      </c>
      <c r="J482" s="224" t="n">
        <f aca="false">K482</f>
        <v>1</v>
      </c>
      <c r="K482" s="225" t="n">
        <f aca="false">_xlfn.IFNA(IF(B482&gt;=$K$11, 1,0),0)</f>
        <v>1</v>
      </c>
      <c r="L482" s="60" t="str">
        <f aca="false">IF(I482=0,1,"")</f>
        <v/>
      </c>
      <c r="P482" s="4" t="e">
        <f aca="false">IF(AND(G482&gt;E482, A482&lt;&gt;"0.00", V482&lt;&gt;0), $N$5 * ($P$22 ^ V482 - 1), 0)</f>
        <v>#N/A</v>
      </c>
      <c r="V482" s="71" t="e">
        <f aca="false">IF(B482&lt;EDATE($K$11,12), 0,  DATEDIF(EDATE($K$11,12), B482 + 1, "y") + 1 )</f>
        <v>#VALUE!</v>
      </c>
    </row>
    <row r="483" customFormat="false" ht="12.75" hidden="false" customHeight="true" outlineLevel="0" collapsed="false">
      <c r="A483" s="228" t="e">
        <f aca="false">IF(OR(G482="",G482&lt;=0,C482&gt;150),NA(),A482+1)</f>
        <v>#N/A</v>
      </c>
      <c r="B483" s="229" t="str">
        <f aca="false">IF(ISERROR(A483),"",IF($D$9="Annually",EDATE(B482,12),EDATE(B482,1)))</f>
        <v/>
      </c>
      <c r="C483" s="230" t="str">
        <f aca="false">IF(ISERROR(A483),"",C482+IF($D$9="Monthly",1/12,1))</f>
        <v/>
      </c>
      <c r="D483" s="231" t="n">
        <f aca="false">IF(L482&lt;&gt;1, IF(G482&lt;E482,0,D482),IF(L482=1,IFERROR(ROUND(IF($G482 - (E482 * 6) &lt; 0, D482, ($G482 - (E482 * 6)) * $D$8 / 12),2),0) ) )</f>
        <v>0</v>
      </c>
      <c r="E483" s="231" t="n">
        <f aca="false">IF(ISERROR(A483), 0,  MAX(0,   MIN(    ROUND(G482 + D483, 2),    ROUND(FV($S$5, IF(type=1, A483, A482), , IF(J483&lt;&gt;1, -$D$20, -$P$16 + P483), 2), 0)   )  ) )</f>
        <v>0</v>
      </c>
      <c r="F483" s="231" t="n">
        <f aca="false">IF(J483&lt;&gt;1, "", IF(J482&lt;&gt;0, F482, $K$12))</f>
        <v>1</v>
      </c>
      <c r="G483" s="232" t="str">
        <f aca="false">IF(ISERROR(A483),"",ROUND(G482-E483+D483,2))</f>
        <v/>
      </c>
      <c r="H483" s="237" t="str">
        <f aca="false">IF(G483&gt;0,IFERROR(H482+(H482*($D$16/12)),""),"")</f>
        <v/>
      </c>
      <c r="I483" s="223" t="str">
        <f aca="false">IF(ISERROR(A484),"",12 - MONTH(B483))</f>
        <v/>
      </c>
      <c r="J483" s="224" t="n">
        <f aca="false">K483</f>
        <v>1</v>
      </c>
      <c r="K483" s="225" t="n">
        <f aca="false">_xlfn.IFNA(IF(B483&gt;=$K$11, 1,0),0)</f>
        <v>1</v>
      </c>
      <c r="L483" s="60" t="str">
        <f aca="false">IF(I483=0,1,"")</f>
        <v/>
      </c>
      <c r="P483" s="4" t="e">
        <f aca="false">IF(AND(G483&gt;E483, A483&lt;&gt;"0.00", V483&lt;&gt;0), $N$5 * ($P$22 ^ V483 - 1), 0)</f>
        <v>#N/A</v>
      </c>
      <c r="V483" s="71" t="e">
        <f aca="false">IF(B483&lt;EDATE($K$11,12), 0,  DATEDIF(EDATE($K$11,12), B483 + 1, "y") + 1 )</f>
        <v>#VALUE!</v>
      </c>
    </row>
    <row r="484" customFormat="false" ht="12.75" hidden="false" customHeight="true" outlineLevel="0" collapsed="false">
      <c r="A484" s="228" t="e">
        <f aca="false">IF(OR(G483="",G483&lt;=0,C483&gt;150),NA(),A483+1)</f>
        <v>#N/A</v>
      </c>
      <c r="B484" s="229" t="str">
        <f aca="false">IF(ISERROR(A484),"",IF($D$9="Annually",EDATE(B483,12),EDATE(B483,1)))</f>
        <v/>
      </c>
      <c r="C484" s="230" t="str">
        <f aca="false">IF(ISERROR(A484),"",C483+IF($D$9="Monthly",1/12,1))</f>
        <v/>
      </c>
      <c r="D484" s="231" t="n">
        <f aca="false">IF(L483&lt;&gt;1, IF(G483&lt;E483,0,D483),IF(L483=1,IFERROR(ROUND(IF($G483 - (E483 * 6) &lt; 0, D483, ($G483 - (E483 * 6)) * $D$8 / 12),2),0) ) )</f>
        <v>0</v>
      </c>
      <c r="E484" s="231" t="n">
        <f aca="false">IF(ISERROR(A484), 0,  MAX(0,   MIN(    ROUND(G483 + D484, 2),    ROUND(FV($S$5, IF(type=1, A484, A483), , IF(J484&lt;&gt;1, -$D$20, -$P$16 + P484), 2), 0)   )  ) )</f>
        <v>0</v>
      </c>
      <c r="F484" s="231" t="n">
        <f aca="false">IF(J484&lt;&gt;1, "", IF(J483&lt;&gt;0, F483, $K$12))</f>
        <v>1</v>
      </c>
      <c r="G484" s="232" t="str">
        <f aca="false">IF(ISERROR(A484),"",ROUND(G483-E484+D484,2))</f>
        <v/>
      </c>
      <c r="H484" s="237" t="str">
        <f aca="false">IF(G484&gt;0,IFERROR(H483+(H483*($D$16/12)),""),"")</f>
        <v/>
      </c>
      <c r="I484" s="223" t="str">
        <f aca="false">IF(ISERROR(A485),"",12 - MONTH(B484))</f>
        <v/>
      </c>
      <c r="J484" s="224" t="n">
        <f aca="false">K484</f>
        <v>1</v>
      </c>
      <c r="K484" s="225" t="n">
        <f aca="false">_xlfn.IFNA(IF(B484&gt;=$K$11, 1,0),0)</f>
        <v>1</v>
      </c>
      <c r="L484" s="60" t="str">
        <f aca="false">IF(I484=0,1,"")</f>
        <v/>
      </c>
      <c r="P484" s="4" t="e">
        <f aca="false">IF(AND(G484&gt;E484, A484&lt;&gt;"0.00", V484&lt;&gt;0), $N$5 * ($P$22 ^ V484 - 1), 0)</f>
        <v>#N/A</v>
      </c>
      <c r="V484" s="71" t="e">
        <f aca="false">IF(B484&lt;EDATE($K$11,12), 0,  DATEDIF(EDATE($K$11,12), B484 + 1, "y") + 1 )</f>
        <v>#VALUE!</v>
      </c>
    </row>
    <row r="485" customFormat="false" ht="12.75" hidden="false" customHeight="true" outlineLevel="0" collapsed="false">
      <c r="A485" s="228" t="e">
        <f aca="false">IF(OR(G484="",G484&lt;=0,C484&gt;150),NA(),A484+1)</f>
        <v>#N/A</v>
      </c>
      <c r="B485" s="229" t="str">
        <f aca="false">IF(ISERROR(A485),"",IF($D$9="Annually",EDATE(B484,12),EDATE(B484,1)))</f>
        <v/>
      </c>
      <c r="C485" s="230" t="str">
        <f aca="false">IF(ISERROR(A485),"",C484+IF($D$9="Monthly",1/12,1))</f>
        <v/>
      </c>
      <c r="D485" s="231" t="n">
        <f aca="false">IF(L484&lt;&gt;1, IF(G484&lt;E484,0,D484),IF(L484=1,IFERROR(ROUND(IF($G484 - (E484 * 6) &lt; 0, D484, ($G484 - (E484 * 6)) * $D$8 / 12),2),0) ) )</f>
        <v>0</v>
      </c>
      <c r="E485" s="231" t="n">
        <f aca="false">IF(ISERROR(A485), 0,  MAX(0,   MIN(    ROUND(G484 + D485, 2),    ROUND(FV($S$5, IF(type=1, A485, A484), , IF(J485&lt;&gt;1, -$D$20, -$P$16 + P485), 2), 0)   )  ) )</f>
        <v>0</v>
      </c>
      <c r="F485" s="231" t="n">
        <f aca="false">IF(J485&lt;&gt;1, "", IF(J484&lt;&gt;0, F484, $K$12))</f>
        <v>1</v>
      </c>
      <c r="G485" s="232" t="str">
        <f aca="false">IF(ISERROR(A485),"",ROUND(G484-E485+D485,2))</f>
        <v/>
      </c>
      <c r="H485" s="237" t="str">
        <f aca="false">IF(G485&gt;0,IFERROR(H484+(H484*($D$16/12)),""),"")</f>
        <v/>
      </c>
      <c r="I485" s="223" t="str">
        <f aca="false">IF(ISERROR(A486),"",12 - MONTH(B485))</f>
        <v/>
      </c>
      <c r="J485" s="224" t="n">
        <f aca="false">K485</f>
        <v>1</v>
      </c>
      <c r="K485" s="225" t="n">
        <f aca="false">_xlfn.IFNA(IF(B485&gt;=$K$11, 1,0),0)</f>
        <v>1</v>
      </c>
      <c r="L485" s="60" t="str">
        <f aca="false">IF(I485=0,1,"")</f>
        <v/>
      </c>
      <c r="P485" s="4" t="e">
        <f aca="false">IF(AND(G485&gt;E485, A485&lt;&gt;"0.00", V485&lt;&gt;0), $N$5 * ($P$22 ^ V485 - 1), 0)</f>
        <v>#N/A</v>
      </c>
      <c r="V485" s="71" t="e">
        <f aca="false">IF(B485&lt;EDATE($K$11,12), 0,  DATEDIF(EDATE($K$11,12), B485 + 1, "y") + 1 )</f>
        <v>#VALUE!</v>
      </c>
    </row>
    <row r="486" customFormat="false" ht="12.75" hidden="false" customHeight="true" outlineLevel="0" collapsed="false">
      <c r="A486" s="228" t="e">
        <f aca="false">IF(OR(G485="",G485&lt;=0,C485&gt;150),NA(),A485+1)</f>
        <v>#N/A</v>
      </c>
      <c r="B486" s="229" t="str">
        <f aca="false">IF(ISERROR(A486),"",IF($D$9="Annually",EDATE(B485,12),EDATE(B485,1)))</f>
        <v/>
      </c>
      <c r="C486" s="230" t="str">
        <f aca="false">IF(ISERROR(A486),"",C485+IF($D$9="Monthly",1/12,1))</f>
        <v/>
      </c>
      <c r="D486" s="231" t="n">
        <f aca="false">IF(L485&lt;&gt;1, IF(G485&lt;E485,0,D485),IF(L485=1,IFERROR(ROUND(IF($G485 - (E485 * 6) &lt; 0, D485, ($G485 - (E485 * 6)) * $D$8 / 12),2),0) ) )</f>
        <v>0</v>
      </c>
      <c r="E486" s="231" t="n">
        <f aca="false">IF(ISERROR(A486), 0,  MAX(0,   MIN(    ROUND(G485 + D486, 2),    ROUND(FV($S$5, IF(type=1, A486, A485), , IF(J486&lt;&gt;1, -$D$20, -$P$16 + P486), 2), 0)   )  ) )</f>
        <v>0</v>
      </c>
      <c r="F486" s="231" t="n">
        <f aca="false">IF(J486&lt;&gt;1, "", IF(J485&lt;&gt;0, F485, $K$12))</f>
        <v>1</v>
      </c>
      <c r="G486" s="232" t="str">
        <f aca="false">IF(ISERROR(A486),"",ROUND(G485-E486+D486,2))</f>
        <v/>
      </c>
      <c r="H486" s="237" t="str">
        <f aca="false">IF(G486&gt;0,IFERROR(H485+(H485*($D$16/12)),""),"")</f>
        <v/>
      </c>
      <c r="I486" s="223" t="str">
        <f aca="false">IF(ISERROR(A487),"",12 - MONTH(B486))</f>
        <v/>
      </c>
      <c r="J486" s="224" t="n">
        <f aca="false">K486</f>
        <v>1</v>
      </c>
      <c r="K486" s="225" t="n">
        <f aca="false">_xlfn.IFNA(IF(B486&gt;=$K$11, 1,0),0)</f>
        <v>1</v>
      </c>
      <c r="L486" s="60" t="str">
        <f aca="false">IF(I486=0,1,"")</f>
        <v/>
      </c>
      <c r="P486" s="4" t="e">
        <f aca="false">IF(AND(G486&gt;E486, A486&lt;&gt;"0.00", V486&lt;&gt;0), $N$5 * ($P$22 ^ V486 - 1), 0)</f>
        <v>#N/A</v>
      </c>
      <c r="V486" s="71" t="e">
        <f aca="false">IF(B486&lt;EDATE($K$11,12), 0,  DATEDIF(EDATE($K$11,12), B486 + 1, "y") + 1 )</f>
        <v>#VALUE!</v>
      </c>
    </row>
    <row r="487" customFormat="false" ht="12.75" hidden="false" customHeight="true" outlineLevel="0" collapsed="false">
      <c r="A487" s="228" t="e">
        <f aca="false">IF(OR(G486="",G486&lt;=0,C486&gt;150),NA(),A486+1)</f>
        <v>#N/A</v>
      </c>
      <c r="B487" s="229" t="str">
        <f aca="false">IF(ISERROR(A487),"",IF($D$9="Annually",EDATE(B486,12),EDATE(B486,1)))</f>
        <v/>
      </c>
      <c r="C487" s="230" t="str">
        <f aca="false">IF(ISERROR(A487),"",C486+IF($D$9="Monthly",1/12,1))</f>
        <v/>
      </c>
      <c r="D487" s="231" t="n">
        <f aca="false">IF(L486&lt;&gt;1, IF(G486&lt;E486,0,D486),IF(L486=1,IFERROR(ROUND(IF($G486 - (E486 * 6) &lt; 0, D486, ($G486 - (E486 * 6)) * $D$8 / 12),2),0) ) )</f>
        <v>0</v>
      </c>
      <c r="E487" s="231" t="n">
        <f aca="false">IF(ISERROR(A487), 0,  MAX(0,   MIN(    ROUND(G486 + D487, 2),    ROUND(FV($S$5, IF(type=1, A487, A486), , IF(J487&lt;&gt;1, -$D$20, -$P$16 + P487), 2), 0)   )  ) )</f>
        <v>0</v>
      </c>
      <c r="F487" s="231" t="n">
        <f aca="false">IF(J487&lt;&gt;1, "", IF(J486&lt;&gt;0, F486, $K$12))</f>
        <v>1</v>
      </c>
      <c r="G487" s="232" t="str">
        <f aca="false">IF(ISERROR(A487),"",ROUND(G486-E487+D487,2))</f>
        <v/>
      </c>
      <c r="H487" s="237" t="str">
        <f aca="false">IF(G487&gt;0,IFERROR(H486+(H486*($D$16/12)),""),"")</f>
        <v/>
      </c>
      <c r="I487" s="223" t="str">
        <f aca="false">IF(ISERROR(A488),"",12 - MONTH(B487))</f>
        <v/>
      </c>
      <c r="J487" s="224" t="n">
        <f aca="false">K487</f>
        <v>1</v>
      </c>
      <c r="K487" s="225" t="n">
        <f aca="false">_xlfn.IFNA(IF(B487&gt;=$K$11, 1,0),0)</f>
        <v>1</v>
      </c>
      <c r="L487" s="60" t="str">
        <f aca="false">IF(I487=0,1,"")</f>
        <v/>
      </c>
      <c r="P487" s="4" t="e">
        <f aca="false">IF(AND(G487&gt;E487, A487&lt;&gt;"0.00", V487&lt;&gt;0), $N$5 * ($P$22 ^ V487 - 1), 0)</f>
        <v>#N/A</v>
      </c>
      <c r="V487" s="71" t="e">
        <f aca="false">IF(B487&lt;EDATE($K$11,12), 0,  DATEDIF(EDATE($K$11,12), B487 + 1, "y") + 1 )</f>
        <v>#VALUE!</v>
      </c>
    </row>
    <row r="488" customFormat="false" ht="12.75" hidden="false" customHeight="true" outlineLevel="0" collapsed="false">
      <c r="A488" s="228" t="e">
        <f aca="false">IF(OR(G487="",G487&lt;=0,C487&gt;150),NA(),A487+1)</f>
        <v>#N/A</v>
      </c>
      <c r="B488" s="229" t="str">
        <f aca="false">IF(ISERROR(A488),"",IF($D$9="Annually",EDATE(B487,12),EDATE(B487,1)))</f>
        <v/>
      </c>
      <c r="C488" s="230" t="str">
        <f aca="false">IF(ISERROR(A488),"",C487+IF($D$9="Monthly",1/12,1))</f>
        <v/>
      </c>
      <c r="D488" s="231" t="n">
        <f aca="false">IF(L487&lt;&gt;1, IF(G487&lt;E487,0,D487),IF(L487=1,IFERROR(ROUND(IF($G487 - (E487 * 6) &lt; 0, D487, ($G487 - (E487 * 6)) * $D$8 / 12),2),0) ) )</f>
        <v>0</v>
      </c>
      <c r="E488" s="231" t="n">
        <f aca="false">IF(ISERROR(A488), 0,  MAX(0,   MIN(    ROUND(G487 + D488, 2),    ROUND(FV($S$5, IF(type=1, A488, A487), , IF(J488&lt;&gt;1, -$D$20, -$P$16 + P488), 2), 0)   )  ) )</f>
        <v>0</v>
      </c>
      <c r="F488" s="231" t="n">
        <f aca="false">IF(J488&lt;&gt;1, "", IF(J487&lt;&gt;0, F487, $K$12))</f>
        <v>1</v>
      </c>
      <c r="G488" s="232" t="str">
        <f aca="false">IF(ISERROR(A488),"",ROUND(G487-E488+D488,2))</f>
        <v/>
      </c>
      <c r="H488" s="237" t="str">
        <f aca="false">IF(G488&gt;0,IFERROR(H487+(H487*($D$16/12)),""),"")</f>
        <v/>
      </c>
      <c r="I488" s="223" t="str">
        <f aca="false">IF(ISERROR(A489),"",12 - MONTH(B488))</f>
        <v/>
      </c>
      <c r="J488" s="224" t="n">
        <f aca="false">K488</f>
        <v>1</v>
      </c>
      <c r="K488" s="225" t="n">
        <f aca="false">_xlfn.IFNA(IF(B488&gt;=$K$11, 1,0),0)</f>
        <v>1</v>
      </c>
      <c r="L488" s="60" t="str">
        <f aca="false">IF(I488=0,1,"")</f>
        <v/>
      </c>
      <c r="P488" s="4" t="e">
        <f aca="false">IF(AND(G488&gt;E488, A488&lt;&gt;"0.00", V488&lt;&gt;0), $N$5 * ($P$22 ^ V488 - 1), 0)</f>
        <v>#N/A</v>
      </c>
      <c r="V488" s="71" t="e">
        <f aca="false">IF(B488&lt;EDATE($K$11,12), 0,  DATEDIF(EDATE($K$11,12), B488 + 1, "y") + 1 )</f>
        <v>#VALUE!</v>
      </c>
    </row>
    <row r="489" customFormat="false" ht="12.75" hidden="false" customHeight="true" outlineLevel="0" collapsed="false">
      <c r="A489" s="228" t="e">
        <f aca="false">IF(OR(G488="",G488&lt;=0,C488&gt;150),NA(),A488+1)</f>
        <v>#N/A</v>
      </c>
      <c r="B489" s="229" t="str">
        <f aca="false">IF(ISERROR(A489),"",IF($D$9="Annually",EDATE(B488,12),EDATE(B488,1)))</f>
        <v/>
      </c>
      <c r="C489" s="230" t="str">
        <f aca="false">IF(ISERROR(A489),"",C488+IF($D$9="Monthly",1/12,1))</f>
        <v/>
      </c>
      <c r="D489" s="231" t="n">
        <f aca="false">IF(L488&lt;&gt;1, IF(G488&lt;E488,0,D488),IF(L488=1,IFERROR(ROUND(IF($G488 - (E488 * 6) &lt; 0, D488, ($G488 - (E488 * 6)) * $D$8 / 12),2),0) ) )</f>
        <v>0</v>
      </c>
      <c r="E489" s="231" t="n">
        <f aca="false">IF(ISERROR(A489), 0,  MAX(0,   MIN(    ROUND(G488 + D489, 2),    ROUND(FV($S$5, IF(type=1, A489, A488), , IF(J489&lt;&gt;1, -$D$20, -$P$16 + P489), 2), 0)   )  ) )</f>
        <v>0</v>
      </c>
      <c r="F489" s="231" t="n">
        <f aca="false">IF(J489&lt;&gt;1, "", IF(J488&lt;&gt;0, F488, $K$12))</f>
        <v>1</v>
      </c>
      <c r="G489" s="232" t="str">
        <f aca="false">IF(ISERROR(A489),"",ROUND(G488-E489+D489,2))</f>
        <v/>
      </c>
      <c r="H489" s="237" t="str">
        <f aca="false">IF(G489&gt;0,IFERROR(H488+(H488*($D$16/12)),""),"")</f>
        <v/>
      </c>
      <c r="I489" s="223" t="str">
        <f aca="false">IF(ISERROR(A490),"",12 - MONTH(B489))</f>
        <v/>
      </c>
      <c r="J489" s="224" t="n">
        <f aca="false">K489</f>
        <v>1</v>
      </c>
      <c r="K489" s="225" t="n">
        <f aca="false">_xlfn.IFNA(IF(B489&gt;=$K$11, 1,0),0)</f>
        <v>1</v>
      </c>
      <c r="L489" s="60" t="str">
        <f aca="false">IF(I489=0,1,"")</f>
        <v/>
      </c>
      <c r="P489" s="4" t="e">
        <f aca="false">IF(AND(G489&gt;E489, A489&lt;&gt;"0.00", V489&lt;&gt;0), $N$5 * ($P$22 ^ V489 - 1), 0)</f>
        <v>#N/A</v>
      </c>
      <c r="V489" s="71" t="e">
        <f aca="false">IF(B489&lt;EDATE($K$11,12), 0,  DATEDIF(EDATE($K$11,12), B489 + 1, "y") + 1 )</f>
        <v>#VALUE!</v>
      </c>
    </row>
    <row r="490" customFormat="false" ht="12.75" hidden="false" customHeight="true" outlineLevel="0" collapsed="false">
      <c r="A490" s="228" t="e">
        <f aca="false">IF(OR(G489="",G489&lt;=0,C489&gt;150),NA(),A489+1)</f>
        <v>#N/A</v>
      </c>
      <c r="B490" s="229" t="str">
        <f aca="false">IF(ISERROR(A490),"",IF($D$9="Annually",EDATE(B489,12),EDATE(B489,1)))</f>
        <v/>
      </c>
      <c r="C490" s="230" t="str">
        <f aca="false">IF(ISERROR(A490),"",C489+IF($D$9="Monthly",1/12,1))</f>
        <v/>
      </c>
      <c r="D490" s="231" t="n">
        <f aca="false">IF(L489&lt;&gt;1, IF(G489&lt;E489,0,D489),IF(L489=1,IFERROR(ROUND(IF($G489 - (E489 * 6) &lt; 0, D489, ($G489 - (E489 * 6)) * $D$8 / 12),2),0) ) )</f>
        <v>0</v>
      </c>
      <c r="E490" s="231" t="n">
        <f aca="false">IF(ISERROR(A490), 0,  MAX(0,   MIN(    ROUND(G489 + D490, 2),    ROUND(FV($S$5, IF(type=1, A490, A489), , IF(J490&lt;&gt;1, -$D$20, -$P$16 + P490), 2), 0)   )  ) )</f>
        <v>0</v>
      </c>
      <c r="F490" s="231" t="n">
        <f aca="false">IF(J490&lt;&gt;1, "", IF(J489&lt;&gt;0, F489, $K$12))</f>
        <v>1</v>
      </c>
      <c r="G490" s="232" t="str">
        <f aca="false">IF(ISERROR(A490),"",ROUND(G489-E490+D490,2))</f>
        <v/>
      </c>
      <c r="H490" s="237" t="str">
        <f aca="false">IF(G490&gt;0,IFERROR(H489+(H489*($D$16/12)),""),"")</f>
        <v/>
      </c>
      <c r="I490" s="223" t="str">
        <f aca="false">IF(ISERROR(A491),"",12 - MONTH(B490))</f>
        <v/>
      </c>
      <c r="J490" s="224" t="n">
        <f aca="false">K490</f>
        <v>1</v>
      </c>
      <c r="K490" s="225" t="n">
        <f aca="false">_xlfn.IFNA(IF(B490&gt;=$K$11, 1,0),0)</f>
        <v>1</v>
      </c>
      <c r="L490" s="60" t="str">
        <f aca="false">IF(I490=0,1,"")</f>
        <v/>
      </c>
      <c r="P490" s="4" t="e">
        <f aca="false">IF(AND(G490&gt;E490, A490&lt;&gt;"0.00", V490&lt;&gt;0), $N$5 * ($P$22 ^ V490 - 1), 0)</f>
        <v>#N/A</v>
      </c>
      <c r="V490" s="71" t="e">
        <f aca="false">IF(B490&lt;EDATE($K$11,12), 0,  DATEDIF(EDATE($K$11,12), B490 + 1, "y") + 1 )</f>
        <v>#VALUE!</v>
      </c>
    </row>
    <row r="491" customFormat="false" ht="12.75" hidden="false" customHeight="true" outlineLevel="0" collapsed="false">
      <c r="A491" s="228" t="e">
        <f aca="false">IF(OR(G490="",G490&lt;=0,C490&gt;150),NA(),A490+1)</f>
        <v>#N/A</v>
      </c>
      <c r="B491" s="229" t="str">
        <f aca="false">IF(ISERROR(A491),"",IF($D$9="Annually",EDATE(B490,12),EDATE(B490,1)))</f>
        <v/>
      </c>
      <c r="C491" s="230" t="str">
        <f aca="false">IF(ISERROR(A491),"",C490+IF($D$9="Monthly",1/12,1))</f>
        <v/>
      </c>
      <c r="D491" s="231" t="n">
        <f aca="false">IF(L490&lt;&gt;1, IF(G490&lt;E490,0,D490),IF(L490=1,IFERROR(ROUND(IF($G490 - (E490 * 6) &lt; 0, D490, ($G490 - (E490 * 6)) * $D$8 / 12),2),0) ) )</f>
        <v>0</v>
      </c>
      <c r="E491" s="231" t="n">
        <f aca="false">IF(ISERROR(A491), 0,  MAX(0,   MIN(    ROUND(G490 + D491, 2),    ROUND(FV($S$5, IF(type=1, A491, A490), , IF(J491&lt;&gt;1, -$D$20, -$P$16 + P491), 2), 0)   )  ) )</f>
        <v>0</v>
      </c>
      <c r="F491" s="231" t="n">
        <f aca="false">IF(J491&lt;&gt;1, "", IF(J490&lt;&gt;0, F490, $K$12))</f>
        <v>1</v>
      </c>
      <c r="G491" s="232" t="str">
        <f aca="false">IF(ISERROR(A491),"",ROUND(G490-E491+D491,2))</f>
        <v/>
      </c>
      <c r="H491" s="237" t="str">
        <f aca="false">IF(G491&gt;0,IFERROR(H490+(H490*($D$16/12)),""),"")</f>
        <v/>
      </c>
      <c r="I491" s="223" t="str">
        <f aca="false">IF(ISERROR(A492),"",12 - MONTH(B491))</f>
        <v/>
      </c>
      <c r="J491" s="224" t="n">
        <f aca="false">K491</f>
        <v>1</v>
      </c>
      <c r="K491" s="225" t="n">
        <f aca="false">_xlfn.IFNA(IF(B491&gt;=$K$11, 1,0),0)</f>
        <v>1</v>
      </c>
      <c r="L491" s="60" t="str">
        <f aca="false">IF(I491=0,1,"")</f>
        <v/>
      </c>
      <c r="P491" s="4" t="e">
        <f aca="false">IF(AND(G491&gt;E491, A491&lt;&gt;"0.00", V491&lt;&gt;0), $N$5 * ($P$22 ^ V491 - 1), 0)</f>
        <v>#N/A</v>
      </c>
      <c r="V491" s="71" t="e">
        <f aca="false">IF(B491&lt;EDATE($K$11,12), 0,  DATEDIF(EDATE($K$11,12), B491 + 1, "y") + 1 )</f>
        <v>#VALUE!</v>
      </c>
    </row>
    <row r="492" customFormat="false" ht="12.75" hidden="false" customHeight="true" outlineLevel="0" collapsed="false">
      <c r="A492" s="228" t="e">
        <f aca="false">IF(OR(G491="",G491&lt;=0,C491&gt;150),NA(),A491+1)</f>
        <v>#N/A</v>
      </c>
      <c r="B492" s="229" t="str">
        <f aca="false">IF(ISERROR(A492),"",IF($D$9="Annually",EDATE(B491,12),EDATE(B491,1)))</f>
        <v/>
      </c>
      <c r="C492" s="230" t="str">
        <f aca="false">IF(ISERROR(A492),"",C491+IF($D$9="Monthly",1/12,1))</f>
        <v/>
      </c>
      <c r="D492" s="231" t="n">
        <f aca="false">IF(L491&lt;&gt;1, IF(G491&lt;E491,0,D491),IF(L491=1,IFERROR(ROUND(IF($G491 - (E491 * 6) &lt; 0, D491, ($G491 - (E491 * 6)) * $D$8 / 12),2),0) ) )</f>
        <v>0</v>
      </c>
      <c r="E492" s="231" t="n">
        <f aca="false">IF(ISERROR(A492), 0,  MAX(0,   MIN(    ROUND(G491 + D492, 2),    ROUND(FV($S$5, IF(type=1, A492, A491), , IF(J492&lt;&gt;1, -$D$20, -$P$16 + P492), 2), 0)   )  ) )</f>
        <v>0</v>
      </c>
      <c r="F492" s="231" t="n">
        <f aca="false">IF(J492&lt;&gt;1, "", IF(J491&lt;&gt;0, F491, $K$12))</f>
        <v>1</v>
      </c>
      <c r="G492" s="232" t="str">
        <f aca="false">IF(ISERROR(A492),"",ROUND(G491-E492+D492,2))</f>
        <v/>
      </c>
      <c r="H492" s="237" t="str">
        <f aca="false">IF(G492&gt;0,IFERROR(H491+(H491*($D$16/12)),""),"")</f>
        <v/>
      </c>
      <c r="I492" s="223" t="str">
        <f aca="false">IF(ISERROR(A493),"",12 - MONTH(B492))</f>
        <v/>
      </c>
      <c r="J492" s="224" t="n">
        <f aca="false">K492</f>
        <v>1</v>
      </c>
      <c r="K492" s="225" t="n">
        <f aca="false">_xlfn.IFNA(IF(B492&gt;=$K$11, 1,0),0)</f>
        <v>1</v>
      </c>
      <c r="L492" s="60" t="str">
        <f aca="false">IF(I492=0,1,"")</f>
        <v/>
      </c>
      <c r="P492" s="4" t="e">
        <f aca="false">IF(AND(G492&gt;E492, A492&lt;&gt;"0.00", V492&lt;&gt;0), $N$5 * ($P$22 ^ V492 - 1), 0)</f>
        <v>#N/A</v>
      </c>
      <c r="V492" s="71" t="e">
        <f aca="false">IF(B492&lt;EDATE($K$11,12), 0,  DATEDIF(EDATE($K$11,12), B492 + 1, "y") + 1 )</f>
        <v>#VALUE!</v>
      </c>
    </row>
    <row r="493" customFormat="false" ht="12.75" hidden="false" customHeight="true" outlineLevel="0" collapsed="false">
      <c r="A493" s="228" t="e">
        <f aca="false">IF(OR(G492="",G492&lt;=0,C492&gt;150),NA(),A492+1)</f>
        <v>#N/A</v>
      </c>
      <c r="B493" s="229" t="str">
        <f aca="false">IF(ISERROR(A493),"",IF($D$9="Annually",EDATE(B492,12),EDATE(B492,1)))</f>
        <v/>
      </c>
      <c r="C493" s="230" t="str">
        <f aca="false">IF(ISERROR(A493),"",C492+IF($D$9="Monthly",1/12,1))</f>
        <v/>
      </c>
      <c r="D493" s="231" t="n">
        <f aca="false">IF(L492&lt;&gt;1, IF(G492&lt;E492,0,D492),IF(L492=1,IFERROR(ROUND(IF($G492 - (E492 * 6) &lt; 0, D492, ($G492 - (E492 * 6)) * $D$8 / 12),2),0) ) )</f>
        <v>0</v>
      </c>
      <c r="E493" s="231" t="n">
        <f aca="false">IF(ISERROR(A493), 0,  MAX(0,   MIN(    ROUND(G492 + D493, 2),    ROUND(FV($S$5, IF(type=1, A493, A492), , IF(J493&lt;&gt;1, -$D$20, -$P$16 + P493), 2), 0)   )  ) )</f>
        <v>0</v>
      </c>
      <c r="F493" s="231" t="n">
        <f aca="false">IF(J493&lt;&gt;1, "", IF(J492&lt;&gt;0, F492, $K$12))</f>
        <v>1</v>
      </c>
      <c r="G493" s="232" t="str">
        <f aca="false">IF(ISERROR(A493),"",ROUND(G492-E493+D493,2))</f>
        <v/>
      </c>
      <c r="H493" s="237" t="str">
        <f aca="false">IF(G493&gt;0,IFERROR(H492+(H492*($D$16/12)),""),"")</f>
        <v/>
      </c>
      <c r="I493" s="223" t="str">
        <f aca="false">IF(ISERROR(A494),"",12 - MONTH(B493))</f>
        <v/>
      </c>
      <c r="J493" s="224" t="n">
        <f aca="false">K493</f>
        <v>1</v>
      </c>
      <c r="K493" s="225" t="n">
        <f aca="false">_xlfn.IFNA(IF(B493&gt;=$K$11, 1,0),0)</f>
        <v>1</v>
      </c>
      <c r="L493" s="60" t="str">
        <f aca="false">IF(I493=0,1,"")</f>
        <v/>
      </c>
      <c r="P493" s="4" t="e">
        <f aca="false">IF(AND(G493&gt;E493, A493&lt;&gt;"0.00", V493&lt;&gt;0), $N$5 * ($P$22 ^ V493 - 1), 0)</f>
        <v>#N/A</v>
      </c>
      <c r="V493" s="71" t="e">
        <f aca="false">IF(B493&lt;EDATE($K$11,12), 0,  DATEDIF(EDATE($K$11,12), B493 + 1, "y") + 1 )</f>
        <v>#VALUE!</v>
      </c>
    </row>
    <row r="494" customFormat="false" ht="12.75" hidden="false" customHeight="true" outlineLevel="0" collapsed="false">
      <c r="A494" s="228" t="e">
        <f aca="false">IF(OR(G493="",G493&lt;=0,C493&gt;150),NA(),A493+1)</f>
        <v>#N/A</v>
      </c>
      <c r="B494" s="229" t="str">
        <f aca="false">IF(ISERROR(A494),"",IF($D$9="Annually",EDATE(B493,12),EDATE(B493,1)))</f>
        <v/>
      </c>
      <c r="C494" s="230" t="str">
        <f aca="false">IF(ISERROR(A494),"",C493+IF($D$9="Monthly",1/12,1))</f>
        <v/>
      </c>
      <c r="D494" s="231" t="n">
        <f aca="false">IF(L493&lt;&gt;1, IF(G493&lt;E493,0,D493),IF(L493=1,IFERROR(ROUND(IF($G493 - (E493 * 6) &lt; 0, D493, ($G493 - (E493 * 6)) * $D$8 / 12),2),0) ) )</f>
        <v>0</v>
      </c>
      <c r="E494" s="231" t="n">
        <f aca="false">IF(ISERROR(A494), 0,  MAX(0,   MIN(    ROUND(G493 + D494, 2),    ROUND(FV($S$5, IF(type=1, A494, A493), , IF(J494&lt;&gt;1, -$D$20, -$P$16 + P494), 2), 0)   )  ) )</f>
        <v>0</v>
      </c>
      <c r="F494" s="231" t="n">
        <f aca="false">IF(J494&lt;&gt;1, "", IF(J493&lt;&gt;0, F493, $K$12))</f>
        <v>1</v>
      </c>
      <c r="G494" s="232" t="str">
        <f aca="false">IF(ISERROR(A494),"",ROUND(G493-E494+D494,2))</f>
        <v/>
      </c>
      <c r="H494" s="237" t="str">
        <f aca="false">IF(G494&gt;0,IFERROR(H493+(H493*($D$16/12)),""),"")</f>
        <v/>
      </c>
      <c r="I494" s="223" t="str">
        <f aca="false">IF(ISERROR(A495),"",12 - MONTH(B494))</f>
        <v/>
      </c>
      <c r="J494" s="224" t="n">
        <f aca="false">K494</f>
        <v>1</v>
      </c>
      <c r="K494" s="225" t="n">
        <f aca="false">_xlfn.IFNA(IF(B494&gt;=$K$11, 1,0),0)</f>
        <v>1</v>
      </c>
      <c r="L494" s="60" t="str">
        <f aca="false">IF(I494=0,1,"")</f>
        <v/>
      </c>
      <c r="P494" s="4" t="e">
        <f aca="false">IF(AND(G494&gt;E494, A494&lt;&gt;"0.00", V494&lt;&gt;0), $N$5 * ($P$22 ^ V494 - 1), 0)</f>
        <v>#N/A</v>
      </c>
      <c r="V494" s="71" t="e">
        <f aca="false">IF(B494&lt;EDATE($K$11,12), 0,  DATEDIF(EDATE($K$11,12), B494 + 1, "y") + 1 )</f>
        <v>#VALUE!</v>
      </c>
    </row>
    <row r="495" customFormat="false" ht="12.75" hidden="false" customHeight="true" outlineLevel="0" collapsed="false">
      <c r="A495" s="228" t="e">
        <f aca="false">IF(OR(G494="",G494&lt;=0,C494&gt;150),NA(),A494+1)</f>
        <v>#N/A</v>
      </c>
      <c r="B495" s="229" t="str">
        <f aca="false">IF(ISERROR(A495),"",IF($D$9="Annually",EDATE(B494,12),EDATE(B494,1)))</f>
        <v/>
      </c>
      <c r="C495" s="230" t="str">
        <f aca="false">IF(ISERROR(A495),"",C494+IF($D$9="Monthly",1/12,1))</f>
        <v/>
      </c>
      <c r="D495" s="231" t="n">
        <f aca="false">IF(L494&lt;&gt;1, IF(G494&lt;E494,0,D494),IF(L494=1,IFERROR(ROUND(IF($G494 - (E494 * 6) &lt; 0, D494, ($G494 - (E494 * 6)) * $D$8 / 12),2),0) ) )</f>
        <v>0</v>
      </c>
      <c r="E495" s="231" t="n">
        <f aca="false">IF(ISERROR(A495), 0,  MAX(0,   MIN(    ROUND(G494 + D495, 2),    ROUND(FV($S$5, IF(type=1, A495, A494), , IF(J495&lt;&gt;1, -$D$20, -$P$16 + P495), 2), 0)   )  ) )</f>
        <v>0</v>
      </c>
      <c r="F495" s="231" t="n">
        <f aca="false">IF(J495&lt;&gt;1, "", IF(J494&lt;&gt;0, F494, $K$12))</f>
        <v>1</v>
      </c>
      <c r="G495" s="232" t="str">
        <f aca="false">IF(ISERROR(A495),"",ROUND(G494-E495+D495,2))</f>
        <v/>
      </c>
      <c r="H495" s="237" t="str">
        <f aca="false">IF(G495&gt;0,IFERROR(H494+(H494*($D$16/12)),""),"")</f>
        <v/>
      </c>
      <c r="I495" s="223" t="str">
        <f aca="false">IF(ISERROR(A496),"",12 - MONTH(B495))</f>
        <v/>
      </c>
      <c r="J495" s="224" t="n">
        <f aca="false">K495</f>
        <v>1</v>
      </c>
      <c r="K495" s="225" t="n">
        <f aca="false">_xlfn.IFNA(IF(B495&gt;=$K$11, 1,0),0)</f>
        <v>1</v>
      </c>
      <c r="L495" s="60" t="str">
        <f aca="false">IF(I495=0,1,"")</f>
        <v/>
      </c>
      <c r="P495" s="4" t="e">
        <f aca="false">IF(AND(G495&gt;E495, A495&lt;&gt;"0.00", V495&lt;&gt;0), $N$5 * ($P$22 ^ V495 - 1), 0)</f>
        <v>#N/A</v>
      </c>
      <c r="V495" s="71" t="e">
        <f aca="false">IF(B495&lt;EDATE($K$11,12), 0,  DATEDIF(EDATE($K$11,12), B495 + 1, "y") + 1 )</f>
        <v>#VALUE!</v>
      </c>
    </row>
    <row r="496" customFormat="false" ht="12.75" hidden="false" customHeight="true" outlineLevel="0" collapsed="false">
      <c r="A496" s="228" t="e">
        <f aca="false">IF(OR(G495="",G495&lt;=0,C495&gt;150),NA(),A495+1)</f>
        <v>#N/A</v>
      </c>
      <c r="B496" s="229" t="str">
        <f aca="false">IF(ISERROR(A496),"",IF($D$9="Annually",EDATE(B495,12),EDATE(B495,1)))</f>
        <v/>
      </c>
      <c r="C496" s="230" t="str">
        <f aca="false">IF(ISERROR(A496),"",C495+IF($D$9="Monthly",1/12,1))</f>
        <v/>
      </c>
      <c r="D496" s="231" t="n">
        <f aca="false">IF(L495&lt;&gt;1, IF(G495&lt;E495,0,D495),IF(L495=1,IFERROR(ROUND(IF($G495 - (E495 * 6) &lt; 0, D495, ($G495 - (E495 * 6)) * $D$8 / 12),2),0) ) )</f>
        <v>0</v>
      </c>
      <c r="E496" s="231" t="n">
        <f aca="false">IF(ISERROR(A496), 0,  MAX(0,   MIN(    ROUND(G495 + D496, 2),    ROUND(FV($S$5, IF(type=1, A496, A495), , IF(J496&lt;&gt;1, -$D$20, -$P$16 + P496), 2), 0)   )  ) )</f>
        <v>0</v>
      </c>
      <c r="F496" s="231" t="n">
        <f aca="false">IF(J496&lt;&gt;1, "", IF(J495&lt;&gt;0, F495, $K$12))</f>
        <v>1</v>
      </c>
      <c r="G496" s="232" t="str">
        <f aca="false">IF(ISERROR(A496),"",ROUND(G495-E496+D496,2))</f>
        <v/>
      </c>
      <c r="H496" s="237" t="str">
        <f aca="false">IF(G496&gt;0,IFERROR(H495+(H495*($D$16/12)),""),"")</f>
        <v/>
      </c>
      <c r="I496" s="223" t="str">
        <f aca="false">IF(ISERROR(A497),"",12 - MONTH(B496))</f>
        <v/>
      </c>
      <c r="J496" s="224" t="n">
        <f aca="false">K496</f>
        <v>1</v>
      </c>
      <c r="K496" s="225" t="n">
        <f aca="false">_xlfn.IFNA(IF(B496&gt;=$K$11, 1,0),0)</f>
        <v>1</v>
      </c>
      <c r="L496" s="60" t="str">
        <f aca="false">IF(I496=0,1,"")</f>
        <v/>
      </c>
      <c r="P496" s="4" t="e">
        <f aca="false">IF(AND(G496&gt;E496, A496&lt;&gt;"0.00", V496&lt;&gt;0), $N$5 * ($P$22 ^ V496 - 1), 0)</f>
        <v>#N/A</v>
      </c>
      <c r="V496" s="71" t="e">
        <f aca="false">IF(B496&lt;EDATE($K$11,12), 0,  DATEDIF(EDATE($K$11,12), B496 + 1, "y") + 1 )</f>
        <v>#VALUE!</v>
      </c>
    </row>
    <row r="497" customFormat="false" ht="12.75" hidden="false" customHeight="true" outlineLevel="0" collapsed="false">
      <c r="A497" s="228" t="e">
        <f aca="false">IF(OR(G496="",G496&lt;=0,C496&gt;150),NA(),A496+1)</f>
        <v>#N/A</v>
      </c>
      <c r="B497" s="229" t="str">
        <f aca="false">IF(ISERROR(A497),"",IF($D$9="Annually",EDATE(B496,12),EDATE(B496,1)))</f>
        <v/>
      </c>
      <c r="C497" s="230" t="str">
        <f aca="false">IF(ISERROR(A497),"",C496+IF($D$9="Monthly",1/12,1))</f>
        <v/>
      </c>
      <c r="D497" s="231" t="n">
        <f aca="false">IF(L496&lt;&gt;1, IF(G496&lt;E496,0,D496),IF(L496=1,IFERROR(ROUND(IF($G496 - (E496 * 6) &lt; 0, D496, ($G496 - (E496 * 6)) * $D$8 / 12),2),0) ) )</f>
        <v>0</v>
      </c>
      <c r="E497" s="231" t="n">
        <f aca="false">IF(ISERROR(A497), 0,  MAX(0,   MIN(    ROUND(G496 + D497, 2),    ROUND(FV($S$5, IF(type=1, A497, A496), , IF(J497&lt;&gt;1, -$D$20, -$P$16 + P497), 2), 0)   )  ) )</f>
        <v>0</v>
      </c>
      <c r="F497" s="231" t="n">
        <f aca="false">IF(J497&lt;&gt;1, "", IF(J496&lt;&gt;0, F496, $K$12))</f>
        <v>1</v>
      </c>
      <c r="G497" s="232" t="str">
        <f aca="false">IF(ISERROR(A497),"",ROUND(G496-E497+D497,2))</f>
        <v/>
      </c>
      <c r="H497" s="237" t="str">
        <f aca="false">IF(G497&gt;0,IFERROR(H496+(H496*($D$16/12)),""),"")</f>
        <v/>
      </c>
      <c r="I497" s="223" t="str">
        <f aca="false">IF(ISERROR(A498),"",12 - MONTH(B497))</f>
        <v/>
      </c>
      <c r="J497" s="224" t="n">
        <f aca="false">K497</f>
        <v>1</v>
      </c>
      <c r="K497" s="225" t="n">
        <f aca="false">_xlfn.IFNA(IF(B497&gt;=$K$11, 1,0),0)</f>
        <v>1</v>
      </c>
      <c r="L497" s="60" t="str">
        <f aca="false">IF(I497=0,1,"")</f>
        <v/>
      </c>
      <c r="P497" s="4" t="e">
        <f aca="false">IF(AND(G497&gt;E497, A497&lt;&gt;"0.00", V497&lt;&gt;0), $N$5 * ($P$22 ^ V497 - 1), 0)</f>
        <v>#N/A</v>
      </c>
      <c r="V497" s="71" t="e">
        <f aca="false">IF(B497&lt;EDATE($K$11,12), 0,  DATEDIF(EDATE($K$11,12), B497 + 1, "y") + 1 )</f>
        <v>#VALUE!</v>
      </c>
    </row>
    <row r="498" customFormat="false" ht="12.75" hidden="false" customHeight="true" outlineLevel="0" collapsed="false">
      <c r="A498" s="228" t="e">
        <f aca="false">IF(OR(G497="",G497&lt;=0,C497&gt;150),NA(),A497+1)</f>
        <v>#N/A</v>
      </c>
      <c r="B498" s="229" t="str">
        <f aca="false">IF(ISERROR(A498),"",IF($D$9="Annually",EDATE(B497,12),EDATE(B497,1)))</f>
        <v/>
      </c>
      <c r="C498" s="230" t="str">
        <f aca="false">IF(ISERROR(A498),"",C497+IF($D$9="Monthly",1/12,1))</f>
        <v/>
      </c>
      <c r="D498" s="231" t="n">
        <f aca="false">IF(L497&lt;&gt;1, IF(G497&lt;E497,0,D497),IF(L497=1,IFERROR(ROUND(IF($G497 - (E497 * 6) &lt; 0, D497, ($G497 - (E497 * 6)) * $D$8 / 12),2),0) ) )</f>
        <v>0</v>
      </c>
      <c r="E498" s="231" t="n">
        <f aca="false">IF(ISERROR(A498), 0,  MAX(0,   MIN(    ROUND(G497 + D498, 2),    ROUND(FV($S$5, IF(type=1, A498, A497), , IF(J498&lt;&gt;1, -$D$20, -$P$16 + P498), 2), 0)   )  ) )</f>
        <v>0</v>
      </c>
      <c r="F498" s="231" t="n">
        <f aca="false">IF(J498&lt;&gt;1, "", IF(J497&lt;&gt;0, F497, $K$12))</f>
        <v>1</v>
      </c>
      <c r="G498" s="232" t="str">
        <f aca="false">IF(ISERROR(A498),"",ROUND(G497-E498+D498,2))</f>
        <v/>
      </c>
      <c r="H498" s="237" t="str">
        <f aca="false">IF(G498&gt;0,IFERROR(H497+(H497*($D$16/12)),""),"")</f>
        <v/>
      </c>
      <c r="I498" s="223" t="str">
        <f aca="false">IF(ISERROR(A499),"",12 - MONTH(B498))</f>
        <v/>
      </c>
      <c r="J498" s="224" t="n">
        <f aca="false">K498</f>
        <v>1</v>
      </c>
      <c r="K498" s="225" t="n">
        <f aca="false">_xlfn.IFNA(IF(B498&gt;=$K$11, 1,0),0)</f>
        <v>1</v>
      </c>
      <c r="L498" s="60" t="str">
        <f aca="false">IF(I498=0,1,"")</f>
        <v/>
      </c>
      <c r="P498" s="4" t="e">
        <f aca="false">IF(AND(G498&gt;E498, A498&lt;&gt;"0.00", V498&lt;&gt;0), $N$5 * ($P$22 ^ V498 - 1), 0)</f>
        <v>#N/A</v>
      </c>
      <c r="V498" s="71" t="e">
        <f aca="false">IF(B498&lt;EDATE($K$11,12), 0,  DATEDIF(EDATE($K$11,12), B498 + 1, "y") + 1 )</f>
        <v>#VALUE!</v>
      </c>
    </row>
    <row r="499" customFormat="false" ht="12.75" hidden="false" customHeight="true" outlineLevel="0" collapsed="false">
      <c r="A499" s="228" t="e">
        <f aca="false">IF(OR(G498="",G498&lt;=0,C498&gt;150),NA(),A498+1)</f>
        <v>#N/A</v>
      </c>
      <c r="B499" s="229" t="str">
        <f aca="false">IF(ISERROR(A499),"",IF($D$9="Annually",EDATE(B498,12),EDATE(B498,1)))</f>
        <v/>
      </c>
      <c r="C499" s="230" t="str">
        <f aca="false">IF(ISERROR(A499),"",C498+IF($D$9="Monthly",1/12,1))</f>
        <v/>
      </c>
      <c r="D499" s="231" t="n">
        <f aca="false">IF(L498&lt;&gt;1, IF(G498&lt;E498,0,D498),IF(L498=1,IFERROR(ROUND(IF($G498 - (E498 * 6) &lt; 0, D498, ($G498 - (E498 * 6)) * $D$8 / 12),2),0) ) )</f>
        <v>0</v>
      </c>
      <c r="E499" s="231" t="n">
        <f aca="false">IF(ISERROR(A499), 0,  MAX(0,   MIN(    ROUND(G498 + D499, 2),    ROUND(FV($S$5, IF(type=1, A499, A498), , IF(J499&lt;&gt;1, -$D$20, -$P$16 + P499), 2), 0)   )  ) )</f>
        <v>0</v>
      </c>
      <c r="F499" s="231" t="n">
        <f aca="false">IF(J499&lt;&gt;1, "", IF(J498&lt;&gt;0, F498, $K$12))</f>
        <v>1</v>
      </c>
      <c r="G499" s="232" t="str">
        <f aca="false">IF(ISERROR(A499),"",ROUND(G498-E499+D499,2))</f>
        <v/>
      </c>
      <c r="H499" s="237" t="str">
        <f aca="false">IF(G499&gt;0,IFERROR(H498+(H498*($D$16/12)),""),"")</f>
        <v/>
      </c>
      <c r="I499" s="223" t="str">
        <f aca="false">IF(ISERROR(A500),"",12 - MONTH(B499))</f>
        <v/>
      </c>
      <c r="J499" s="224" t="n">
        <f aca="false">K499</f>
        <v>1</v>
      </c>
      <c r="K499" s="225" t="n">
        <f aca="false">_xlfn.IFNA(IF(B499&gt;=$K$11, 1,0),0)</f>
        <v>1</v>
      </c>
      <c r="L499" s="60" t="str">
        <f aca="false">IF(I499=0,1,"")</f>
        <v/>
      </c>
      <c r="P499" s="4" t="e">
        <f aca="false">IF(AND(G499&gt;E499, A499&lt;&gt;"0.00", V499&lt;&gt;0), $N$5 * ($P$22 ^ V499 - 1), 0)</f>
        <v>#N/A</v>
      </c>
      <c r="V499" s="71" t="e">
        <f aca="false">IF(B499&lt;EDATE($K$11,12), 0,  DATEDIF(EDATE($K$11,12), B499 + 1, "y") + 1 )</f>
        <v>#VALUE!</v>
      </c>
    </row>
    <row r="500" customFormat="false" ht="12.75" hidden="false" customHeight="true" outlineLevel="0" collapsed="false">
      <c r="A500" s="228" t="e">
        <f aca="false">IF(OR(G499="",G499&lt;=0,C499&gt;150),NA(),A499+1)</f>
        <v>#N/A</v>
      </c>
      <c r="B500" s="229" t="str">
        <f aca="false">IF(ISERROR(A500),"",IF($D$9="Annually",EDATE(B499,12),EDATE(B499,1)))</f>
        <v/>
      </c>
      <c r="C500" s="230" t="str">
        <f aca="false">IF(ISERROR(A500),"",C499+IF($D$9="Monthly",1/12,1))</f>
        <v/>
      </c>
      <c r="D500" s="231" t="n">
        <f aca="false">IF(L499&lt;&gt;1, IF(G499&lt;E499,0,D499),IF(L499=1,IFERROR(ROUND(IF($G499 - (E499 * 6) &lt; 0, D499, ($G499 - (E499 * 6)) * $D$8 / 12),2),0) ) )</f>
        <v>0</v>
      </c>
      <c r="E500" s="231" t="n">
        <f aca="false">IF(ISERROR(A500), 0,  MAX(0,   MIN(    ROUND(G499 + D500, 2),    ROUND(FV($S$5, IF(type=1, A500, A499), , IF(J500&lt;&gt;1, -$D$20, -$P$16 + P500), 2), 0)   )  ) )</f>
        <v>0</v>
      </c>
      <c r="F500" s="231" t="n">
        <f aca="false">IF(J500&lt;&gt;1, "", IF(J499&lt;&gt;0, F499, $K$12))</f>
        <v>1</v>
      </c>
      <c r="G500" s="232" t="str">
        <f aca="false">IF(ISERROR(A500),"",ROUND(G499-E500+D500,2))</f>
        <v/>
      </c>
      <c r="H500" s="237" t="str">
        <f aca="false">IF(G500&gt;0,IFERROR(H499+(H499*($D$16/12)),""),"")</f>
        <v/>
      </c>
      <c r="I500" s="223" t="str">
        <f aca="false">IF(ISERROR(A501),"",12 - MONTH(B500))</f>
        <v/>
      </c>
      <c r="J500" s="224" t="n">
        <f aca="false">K500</f>
        <v>1</v>
      </c>
      <c r="K500" s="225" t="n">
        <f aca="false">_xlfn.IFNA(IF(B500&gt;=$K$11, 1,0),0)</f>
        <v>1</v>
      </c>
      <c r="L500" s="60" t="str">
        <f aca="false">IF(I500=0,1,"")</f>
        <v/>
      </c>
      <c r="P500" s="4" t="e">
        <f aca="false">IF(AND(G500&gt;E500, A500&lt;&gt;"0.00", V500&lt;&gt;0), $N$5 * ($P$22 ^ V500 - 1), 0)</f>
        <v>#N/A</v>
      </c>
      <c r="V500" s="71" t="e">
        <f aca="false">IF(B500&lt;EDATE($K$11,12), 0,  DATEDIF(EDATE($K$11,12), B500 + 1, "y") + 1 )</f>
        <v>#VALUE!</v>
      </c>
    </row>
    <row r="501" customFormat="false" ht="12.75" hidden="false" customHeight="true" outlineLevel="0" collapsed="false">
      <c r="A501" s="228" t="e">
        <f aca="false">IF(OR(G500="",G500&lt;=0,C500&gt;150),NA(),A500+1)</f>
        <v>#N/A</v>
      </c>
      <c r="B501" s="229" t="str">
        <f aca="false">IF(ISERROR(A501),"",IF($D$9="Annually",EDATE(B500,12),EDATE(B500,1)))</f>
        <v/>
      </c>
      <c r="C501" s="230" t="str">
        <f aca="false">IF(ISERROR(A501),"",C500+IF($D$9="Monthly",1/12,1))</f>
        <v/>
      </c>
      <c r="D501" s="231" t="n">
        <f aca="false">IF(L500&lt;&gt;1, IF(G500&lt;E500,0,D500),IF(L500=1,IFERROR(ROUND(IF($G500 - (E500 * 6) &lt; 0, D500, ($G500 - (E500 * 6)) * $D$8 / 12),2),0) ) )</f>
        <v>0</v>
      </c>
      <c r="E501" s="231" t="n">
        <f aca="false">IF(ISERROR(A501), 0,  MAX(0,   MIN(    ROUND(G500 + D501, 2),    ROUND(FV($S$5, IF(type=1, A501, A500), , IF(J501&lt;&gt;1, -$D$20, -$P$16 + P501), 2), 0)   )  ) )</f>
        <v>0</v>
      </c>
      <c r="F501" s="231" t="n">
        <f aca="false">IF(J501&lt;&gt;1, "", IF(J500&lt;&gt;0, F500, $K$12))</f>
        <v>1</v>
      </c>
      <c r="G501" s="232" t="str">
        <f aca="false">IF(ISERROR(A501),"",ROUND(G500-E501+D501,2))</f>
        <v/>
      </c>
      <c r="H501" s="237" t="str">
        <f aca="false">IF(G501&gt;0,IFERROR(H500+(H500*($D$16/12)),""),"")</f>
        <v/>
      </c>
      <c r="I501" s="223" t="str">
        <f aca="false">IF(ISERROR(A502),"",12 - MONTH(B501))</f>
        <v/>
      </c>
      <c r="J501" s="224" t="n">
        <f aca="false">K501</f>
        <v>1</v>
      </c>
      <c r="K501" s="225" t="n">
        <f aca="false">_xlfn.IFNA(IF(B501&gt;=$K$11, 1,0),0)</f>
        <v>1</v>
      </c>
      <c r="L501" s="60" t="str">
        <f aca="false">IF(I501=0,1,"")</f>
        <v/>
      </c>
      <c r="P501" s="4" t="e">
        <f aca="false">IF(AND(G501&gt;E501, A501&lt;&gt;"0.00", V501&lt;&gt;0), $N$5 * ($P$22 ^ V501 - 1), 0)</f>
        <v>#N/A</v>
      </c>
      <c r="V501" s="71" t="e">
        <f aca="false">IF(B501&lt;EDATE($K$11,12), 0,  DATEDIF(EDATE($K$11,12), B501 + 1, "y") + 1 )</f>
        <v>#VALUE!</v>
      </c>
    </row>
    <row r="502" customFormat="false" ht="12.75" hidden="false" customHeight="true" outlineLevel="0" collapsed="false">
      <c r="A502" s="228" t="e">
        <f aca="false">IF(OR(G501="",G501&lt;=0,C501&gt;150),NA(),A501+1)</f>
        <v>#N/A</v>
      </c>
      <c r="B502" s="229" t="str">
        <f aca="false">IF(ISERROR(A502),"",IF($D$9="Annually",EDATE(B501,12),EDATE(B501,1)))</f>
        <v/>
      </c>
      <c r="C502" s="230" t="str">
        <f aca="false">IF(ISERROR(A502),"",C501+IF($D$9="Monthly",1/12,1))</f>
        <v/>
      </c>
      <c r="D502" s="231" t="n">
        <f aca="false">IF(L501&lt;&gt;1, IF(G501&lt;E501,0,D501),IF(L501=1,IFERROR(ROUND(IF($G501 - (E501 * 6) &lt; 0, D501, ($G501 - (E501 * 6)) * $D$8 / 12),2),0) ) )</f>
        <v>0</v>
      </c>
      <c r="E502" s="231" t="n">
        <f aca="false">IF(ISERROR(A502), 0,  MAX(0,   MIN(    ROUND(G501 + D502, 2),    ROUND(FV($S$5, IF(type=1, A502, A501), , IF(J502&lt;&gt;1, -$D$20, -$P$16 + P502), 2), 0)   )  ) )</f>
        <v>0</v>
      </c>
      <c r="F502" s="231" t="n">
        <f aca="false">IF(J502&lt;&gt;1, "", IF(J501&lt;&gt;0, F501, $K$12))</f>
        <v>1</v>
      </c>
      <c r="G502" s="232" t="str">
        <f aca="false">IF(ISERROR(A502),"",ROUND(G501-E502+D502,2))</f>
        <v/>
      </c>
      <c r="H502" s="237" t="str">
        <f aca="false">IF(G502&gt;0,IFERROR(H501+(H501*($D$16/12)),""),"")</f>
        <v/>
      </c>
      <c r="I502" s="223" t="str">
        <f aca="false">IF(ISERROR(A503),"",12 - MONTH(B502))</f>
        <v/>
      </c>
      <c r="J502" s="224" t="n">
        <f aca="false">K502</f>
        <v>1</v>
      </c>
      <c r="K502" s="225" t="n">
        <f aca="false">_xlfn.IFNA(IF(B502&gt;=$K$11, 1,0),0)</f>
        <v>1</v>
      </c>
      <c r="L502" s="60" t="str">
        <f aca="false">IF(I502=0,1,"")</f>
        <v/>
      </c>
      <c r="P502" s="4" t="e">
        <f aca="false">IF(AND(G502&gt;E502, A502&lt;&gt;"0.00", V502&lt;&gt;0), $N$5 * ($P$22 ^ V502 - 1), 0)</f>
        <v>#N/A</v>
      </c>
      <c r="V502" s="71" t="e">
        <f aca="false">IF(B502&lt;EDATE($K$11,12), 0,  DATEDIF(EDATE($K$11,12), B502 + 1, "y") + 1 )</f>
        <v>#VALUE!</v>
      </c>
    </row>
    <row r="503" customFormat="false" ht="12.75" hidden="false" customHeight="true" outlineLevel="0" collapsed="false">
      <c r="A503" s="228" t="e">
        <f aca="false">IF(OR(G502="",G502&lt;=0,C502&gt;150),NA(),A502+1)</f>
        <v>#N/A</v>
      </c>
      <c r="B503" s="229" t="str">
        <f aca="false">IF(ISERROR(A503),"",IF($D$9="Annually",EDATE(B502,12),EDATE(B502,1)))</f>
        <v/>
      </c>
      <c r="C503" s="230" t="str">
        <f aca="false">IF(ISERROR(A503),"",C502+IF($D$9="Monthly",1/12,1))</f>
        <v/>
      </c>
      <c r="D503" s="231" t="n">
        <f aca="false">IF(L502&lt;&gt;1, IF(G502&lt;E502,0,D502),IF(L502=1,IFERROR(ROUND(IF($G502 - (E502 * 6) &lt; 0, D502, ($G502 - (E502 * 6)) * $D$8 / 12),2),0) ) )</f>
        <v>0</v>
      </c>
      <c r="E503" s="231" t="n">
        <f aca="false">IF(ISERROR(A503), 0,  MAX(0,   MIN(    ROUND(G502 + D503, 2),    ROUND(FV($S$5, IF(type=1, A503, A502), , IF(J503&lt;&gt;1, -$D$20, -$P$16 + P503), 2), 0)   )  ) )</f>
        <v>0</v>
      </c>
      <c r="F503" s="231" t="n">
        <f aca="false">IF(J503&lt;&gt;1, "", IF(J502&lt;&gt;0, F502, $K$12))</f>
        <v>1</v>
      </c>
      <c r="G503" s="232" t="str">
        <f aca="false">IF(ISERROR(A503),"",ROUND(G502-E503+D503,2))</f>
        <v/>
      </c>
      <c r="H503" s="237" t="str">
        <f aca="false">IF(G503&gt;0,IFERROR(H502+(H502*($D$16/12)),""),"")</f>
        <v/>
      </c>
      <c r="I503" s="223" t="str">
        <f aca="false">IF(ISERROR(A504),"",12 - MONTH(B503))</f>
        <v/>
      </c>
      <c r="J503" s="224" t="n">
        <f aca="false">K503</f>
        <v>1</v>
      </c>
      <c r="K503" s="225" t="n">
        <f aca="false">_xlfn.IFNA(IF(B503&gt;=$K$11, 1,0),0)</f>
        <v>1</v>
      </c>
      <c r="L503" s="60" t="str">
        <f aca="false">IF(I503=0,1,"")</f>
        <v/>
      </c>
      <c r="P503" s="4" t="e">
        <f aca="false">IF(AND(G503&gt;E503, A503&lt;&gt;"0.00", V503&lt;&gt;0), $N$5 * ($P$22 ^ V503 - 1), 0)</f>
        <v>#N/A</v>
      </c>
      <c r="V503" s="71" t="e">
        <f aca="false">IF(B503&lt;EDATE($K$11,12), 0,  DATEDIF(EDATE($K$11,12), B503 + 1, "y") + 1 )</f>
        <v>#VALUE!</v>
      </c>
    </row>
    <row r="504" customFormat="false" ht="12.75" hidden="false" customHeight="true" outlineLevel="0" collapsed="false">
      <c r="A504" s="228" t="e">
        <f aca="false">IF(OR(G503="",G503&lt;=0,C503&gt;150),NA(),A503+1)</f>
        <v>#N/A</v>
      </c>
      <c r="B504" s="229" t="str">
        <f aca="false">IF(ISERROR(A504),"",IF($D$9="Annually",EDATE(B503,12),EDATE(B503,1)))</f>
        <v/>
      </c>
      <c r="C504" s="230" t="str">
        <f aca="false">IF(ISERROR(A504),"",C503+IF($D$9="Monthly",1/12,1))</f>
        <v/>
      </c>
      <c r="D504" s="231" t="n">
        <f aca="false">IF(L503&lt;&gt;1, IF(G503&lt;E503,0,D503),IF(L503=1,IFERROR(ROUND(IF($G503 - (E503 * 6) &lt; 0, D503, ($G503 - (E503 * 6)) * $D$8 / 12),2),0) ) )</f>
        <v>0</v>
      </c>
      <c r="E504" s="231" t="n">
        <f aca="false">IF(ISERROR(A504), 0,  MAX(0,   MIN(    ROUND(G503 + D504, 2),    ROUND(FV($S$5, IF(type=1, A504, A503), , IF(J504&lt;&gt;1, -$D$20, -$P$16 + P504), 2), 0)   )  ) )</f>
        <v>0</v>
      </c>
      <c r="F504" s="231" t="n">
        <f aca="false">IF(J504&lt;&gt;1, "", IF(J503&lt;&gt;0, F503, $K$12))</f>
        <v>1</v>
      </c>
      <c r="G504" s="232" t="str">
        <f aca="false">IF(ISERROR(A504),"",ROUND(G503-E504+D504,2))</f>
        <v/>
      </c>
      <c r="H504" s="237" t="str">
        <f aca="false">IF(G504&gt;0,IFERROR(H503+(H503*($D$16/12)),""),"")</f>
        <v/>
      </c>
      <c r="I504" s="223" t="str">
        <f aca="false">IF(ISERROR(A505),"",12 - MONTH(B504))</f>
        <v/>
      </c>
      <c r="J504" s="224" t="n">
        <f aca="false">K504</f>
        <v>1</v>
      </c>
      <c r="K504" s="225" t="n">
        <f aca="false">_xlfn.IFNA(IF(B504&gt;=$K$11, 1,0),0)</f>
        <v>1</v>
      </c>
      <c r="L504" s="60" t="str">
        <f aca="false">IF(I504=0,1,"")</f>
        <v/>
      </c>
      <c r="P504" s="4" t="e">
        <f aca="false">IF(AND(G504&gt;E504, A504&lt;&gt;"0.00", V504&lt;&gt;0), $N$5 * ($P$22 ^ V504 - 1), 0)</f>
        <v>#N/A</v>
      </c>
      <c r="V504" s="71" t="e">
        <f aca="false">IF(B504&lt;EDATE($K$11,12), 0,  DATEDIF(EDATE($K$11,12), B504 + 1, "y") + 1 )</f>
        <v>#VALUE!</v>
      </c>
    </row>
    <row r="505" customFormat="false" ht="12.75" hidden="false" customHeight="true" outlineLevel="0" collapsed="false">
      <c r="A505" s="228" t="e">
        <f aca="false">IF(OR(G504="",G504&lt;=0,C504&gt;150),NA(),A504+1)</f>
        <v>#N/A</v>
      </c>
      <c r="B505" s="229" t="str">
        <f aca="false">IF(ISERROR(A505),"",IF($D$9="Annually",EDATE(B504,12),EDATE(B504,1)))</f>
        <v/>
      </c>
      <c r="C505" s="230" t="str">
        <f aca="false">IF(ISERROR(A505),"",C504+IF($D$9="Monthly",1/12,1))</f>
        <v/>
      </c>
      <c r="D505" s="231" t="n">
        <f aca="false">IF(L504&lt;&gt;1, IF(G504&lt;E504,0,D504),IF(L504=1,IFERROR(ROUND(IF($G504 - (E504 * 6) &lt; 0, D504, ($G504 - (E504 * 6)) * $D$8 / 12),2),0) ) )</f>
        <v>0</v>
      </c>
      <c r="E505" s="231" t="n">
        <f aca="false">IF(ISERROR(A505), 0,  MAX(0,   MIN(    ROUND(G504 + D505, 2),    ROUND(FV($S$5, IF(type=1, A505, A504), , IF(J505&lt;&gt;1, -$D$20, -$P$16 + P505), 2), 0)   )  ) )</f>
        <v>0</v>
      </c>
      <c r="F505" s="231" t="n">
        <f aca="false">IF(J505&lt;&gt;1, "", IF(J504&lt;&gt;0, F504, $K$12))</f>
        <v>1</v>
      </c>
      <c r="G505" s="232" t="str">
        <f aca="false">IF(ISERROR(A505),"",ROUND(G504-E505+D505,2))</f>
        <v/>
      </c>
      <c r="H505" s="237" t="str">
        <f aca="false">IF(G505&gt;0,IFERROR(H504+(H504*($D$16/12)),""),"")</f>
        <v/>
      </c>
      <c r="I505" s="223" t="str">
        <f aca="false">IF(ISERROR(A506),"",12 - MONTH(B505))</f>
        <v/>
      </c>
      <c r="J505" s="224" t="n">
        <f aca="false">K505</f>
        <v>1</v>
      </c>
      <c r="K505" s="225" t="n">
        <f aca="false">_xlfn.IFNA(IF(B505&gt;=$K$11, 1,0),0)</f>
        <v>1</v>
      </c>
      <c r="L505" s="60" t="str">
        <f aca="false">IF(I505=0,1,"")</f>
        <v/>
      </c>
      <c r="P505" s="4" t="e">
        <f aca="false">IF(AND(G505&gt;E505, A505&lt;&gt;"0.00", V505&lt;&gt;0), $N$5 * ($P$22 ^ V505 - 1), 0)</f>
        <v>#N/A</v>
      </c>
      <c r="V505" s="71" t="e">
        <f aca="false">IF(B505&lt;EDATE($K$11,12), 0,  DATEDIF(EDATE($K$11,12), B505 + 1, "y") + 1 )</f>
        <v>#VALUE!</v>
      </c>
    </row>
    <row r="506" customFormat="false" ht="12.75" hidden="false" customHeight="true" outlineLevel="0" collapsed="false">
      <c r="A506" s="228" t="e">
        <f aca="false">IF(OR(G505="",G505&lt;=0,C505&gt;150),NA(),A505+1)</f>
        <v>#N/A</v>
      </c>
      <c r="B506" s="229" t="str">
        <f aca="false">IF(ISERROR(A506),"",IF($D$9="Annually",EDATE(B505,12),EDATE(B505,1)))</f>
        <v/>
      </c>
      <c r="C506" s="230" t="str">
        <f aca="false">IF(ISERROR(A506),"",C505+IF($D$9="Monthly",1/12,1))</f>
        <v/>
      </c>
      <c r="D506" s="231" t="n">
        <f aca="false">IF(L505&lt;&gt;1, IF(G505&lt;E505,0,D505),IF(L505=1,IFERROR(ROUND(IF($G505 - (E505 * 6) &lt; 0, D505, ($G505 - (E505 * 6)) * $D$8 / 12),2),0) ) )</f>
        <v>0</v>
      </c>
      <c r="E506" s="231" t="n">
        <f aca="false">IF(ISERROR(A506), 0,  MAX(0,   MIN(    ROUND(G505 + D506, 2),    ROUND(FV($S$5, IF(type=1, A506, A505), , IF(J506&lt;&gt;1, -$D$20, -$P$16 + P506), 2), 0)   )  ) )</f>
        <v>0</v>
      </c>
      <c r="F506" s="231" t="n">
        <f aca="false">IF(J506&lt;&gt;1, "", IF(J505&lt;&gt;0, F505, $K$12))</f>
        <v>1</v>
      </c>
      <c r="G506" s="232" t="str">
        <f aca="false">IF(ISERROR(A506),"",ROUND(G505-E506+D506,2))</f>
        <v/>
      </c>
      <c r="H506" s="237" t="str">
        <f aca="false">IF(G506&gt;0,IFERROR(H505+(H505*($D$16/12)),""),"")</f>
        <v/>
      </c>
      <c r="I506" s="223" t="str">
        <f aca="false">IF(ISERROR(A507),"",12 - MONTH(B506))</f>
        <v/>
      </c>
      <c r="J506" s="224" t="n">
        <f aca="false">K506</f>
        <v>1</v>
      </c>
      <c r="K506" s="225" t="n">
        <f aca="false">_xlfn.IFNA(IF(B506&gt;=$K$11, 1,0),0)</f>
        <v>1</v>
      </c>
      <c r="L506" s="60" t="str">
        <f aca="false">IF(I506=0,1,"")</f>
        <v/>
      </c>
      <c r="P506" s="4" t="e">
        <f aca="false">IF(AND(G506&gt;E506, A506&lt;&gt;"0.00", V506&lt;&gt;0), $N$5 * ($P$22 ^ V506 - 1), 0)</f>
        <v>#N/A</v>
      </c>
      <c r="V506" s="71" t="e">
        <f aca="false">IF(B506&lt;EDATE($K$11,12), 0,  DATEDIF(EDATE($K$11,12), B506 + 1, "y") + 1 )</f>
        <v>#VALUE!</v>
      </c>
    </row>
    <row r="507" customFormat="false" ht="12.75" hidden="false" customHeight="true" outlineLevel="0" collapsed="false">
      <c r="A507" s="228" t="e">
        <f aca="false">IF(OR(G506="",G506&lt;=0,C506&gt;150),NA(),A506+1)</f>
        <v>#N/A</v>
      </c>
      <c r="B507" s="229" t="str">
        <f aca="false">IF(ISERROR(A507),"",IF($D$9="Annually",EDATE(B506,12),EDATE(B506,1)))</f>
        <v/>
      </c>
      <c r="C507" s="230" t="str">
        <f aca="false">IF(ISERROR(A507),"",C506+IF($D$9="Monthly",1/12,1))</f>
        <v/>
      </c>
      <c r="D507" s="231" t="n">
        <f aca="false">IF(L506&lt;&gt;1, IF(G506&lt;E506,0,D506),IF(L506=1,IFERROR(ROUND(IF($G506 - (E506 * 6) &lt; 0, D506, ($G506 - (E506 * 6)) * $D$8 / 12),2),0) ) )</f>
        <v>0</v>
      </c>
      <c r="E507" s="231" t="n">
        <f aca="false">IF(ISERROR(A507), 0,  MAX(0,   MIN(    ROUND(G506 + D507, 2),    ROUND(FV($S$5, IF(type=1, A507, A506), , IF(J507&lt;&gt;1, -$D$20, -$P$16 + P507), 2), 0)   )  ) )</f>
        <v>0</v>
      </c>
      <c r="F507" s="231" t="n">
        <f aca="false">IF(J507&lt;&gt;1, "", IF(J506&lt;&gt;0, F506, $K$12))</f>
        <v>1</v>
      </c>
      <c r="G507" s="232" t="str">
        <f aca="false">IF(ISERROR(A507),"",ROUND(G506-E507+D507,2))</f>
        <v/>
      </c>
      <c r="H507" s="237" t="str">
        <f aca="false">IF(G507&gt;0,IFERROR(H506+(H506*($D$16/12)),""),"")</f>
        <v/>
      </c>
      <c r="I507" s="223" t="str">
        <f aca="false">IF(ISERROR(A508),"",12 - MONTH(B507))</f>
        <v/>
      </c>
      <c r="J507" s="224" t="n">
        <f aca="false">K507</f>
        <v>1</v>
      </c>
      <c r="K507" s="225" t="n">
        <f aca="false">_xlfn.IFNA(IF(B507&gt;=$K$11, 1,0),0)</f>
        <v>1</v>
      </c>
      <c r="L507" s="60" t="str">
        <f aca="false">IF(I507=0,1,"")</f>
        <v/>
      </c>
      <c r="P507" s="4" t="e">
        <f aca="false">IF(AND(G507&gt;E507, A507&lt;&gt;"0.00", V507&lt;&gt;0), $N$5 * ($P$22 ^ V507 - 1), 0)</f>
        <v>#N/A</v>
      </c>
      <c r="V507" s="71" t="e">
        <f aca="false">IF(B507&lt;EDATE($K$11,12), 0,  DATEDIF(EDATE($K$11,12), B507 + 1, "y") + 1 )</f>
        <v>#VALUE!</v>
      </c>
    </row>
    <row r="508" customFormat="false" ht="12.75" hidden="false" customHeight="true" outlineLevel="0" collapsed="false">
      <c r="A508" s="228" t="e">
        <f aca="false">IF(OR(G507="",G507&lt;=0,C507&gt;150),NA(),A507+1)</f>
        <v>#N/A</v>
      </c>
      <c r="B508" s="229" t="str">
        <f aca="false">IF(ISERROR(A508),"",IF($D$9="Annually",EDATE(B507,12),EDATE(B507,1)))</f>
        <v/>
      </c>
      <c r="C508" s="230" t="str">
        <f aca="false">IF(ISERROR(A508),"",C507+IF($D$9="Monthly",1/12,1))</f>
        <v/>
      </c>
      <c r="D508" s="231" t="n">
        <f aca="false">IF(L507&lt;&gt;1, IF(G507&lt;E507,0,D507),IF(L507=1,IFERROR(ROUND(IF($G507 - (E507 * 6) &lt; 0, D507, ($G507 - (E507 * 6)) * $D$8 / 12),2),0) ) )</f>
        <v>0</v>
      </c>
      <c r="E508" s="231" t="n">
        <f aca="false">IF(ISERROR(A508), 0,  MAX(0,   MIN(    ROUND(G507 + D508, 2),    ROUND(FV($S$5, IF(type=1, A508, A507), , IF(J508&lt;&gt;1, -$D$20, -$P$16 + P508), 2), 0)   )  ) )</f>
        <v>0</v>
      </c>
      <c r="F508" s="231" t="n">
        <f aca="false">IF(J508&lt;&gt;1, "", IF(J507&lt;&gt;0, F507, $K$12))</f>
        <v>1</v>
      </c>
      <c r="G508" s="232" t="str">
        <f aca="false">IF(ISERROR(A508),"",ROUND(G507-E508+D508,2))</f>
        <v/>
      </c>
      <c r="H508" s="237" t="str">
        <f aca="false">IF(G508&gt;0,IFERROR(H507+(H507*($D$16/12)),""),"")</f>
        <v/>
      </c>
      <c r="I508" s="223" t="str">
        <f aca="false">IF(ISERROR(A509),"",12 - MONTH(B508))</f>
        <v/>
      </c>
      <c r="J508" s="224" t="n">
        <f aca="false">K508</f>
        <v>1</v>
      </c>
      <c r="K508" s="225" t="n">
        <f aca="false">_xlfn.IFNA(IF(B508&gt;=$K$11, 1,0),0)</f>
        <v>1</v>
      </c>
      <c r="L508" s="60" t="str">
        <f aca="false">IF(I508=0,1,"")</f>
        <v/>
      </c>
      <c r="P508" s="4" t="e">
        <f aca="false">IF(AND(G508&gt;E508, A508&lt;&gt;"0.00", V508&lt;&gt;0), $N$5 * ($P$22 ^ V508 - 1), 0)</f>
        <v>#N/A</v>
      </c>
      <c r="V508" s="71" t="e">
        <f aca="false">IF(B508&lt;EDATE($K$11,12), 0,  DATEDIF(EDATE($K$11,12), B508 + 1, "y") + 1 )</f>
        <v>#VALUE!</v>
      </c>
    </row>
    <row r="509" customFormat="false" ht="12.75" hidden="false" customHeight="true" outlineLevel="0" collapsed="false">
      <c r="A509" s="228" t="e">
        <f aca="false">IF(OR(G508="",G508&lt;=0,C508&gt;150),NA(),A508+1)</f>
        <v>#N/A</v>
      </c>
      <c r="B509" s="229" t="str">
        <f aca="false">IF(ISERROR(A509),"",IF($D$9="Annually",EDATE(B508,12),EDATE(B508,1)))</f>
        <v/>
      </c>
      <c r="C509" s="230" t="str">
        <f aca="false">IF(ISERROR(A509),"",C508+IF($D$9="Monthly",1/12,1))</f>
        <v/>
      </c>
      <c r="D509" s="231" t="n">
        <f aca="false">IF(L508&lt;&gt;1, IF(G508&lt;E508,0,D508),IF(L508=1,IFERROR(ROUND(IF($G508 - (E508 * 6) &lt; 0, D508, ($G508 - (E508 * 6)) * $D$8 / 12),2),0) ) )</f>
        <v>0</v>
      </c>
      <c r="E509" s="231" t="n">
        <f aca="false">IF(ISERROR(A509), 0,  MAX(0,   MIN(    ROUND(G508 + D509, 2),    ROUND(FV($S$5, IF(type=1, A509, A508), , IF(J509&lt;&gt;1, -$D$20, -$P$16 + P509), 2), 0)   )  ) )</f>
        <v>0</v>
      </c>
      <c r="F509" s="231" t="n">
        <f aca="false">IF(J509&lt;&gt;1, "", IF(J508&lt;&gt;0, F508, $K$12))</f>
        <v>1</v>
      </c>
      <c r="G509" s="232" t="str">
        <f aca="false">IF(ISERROR(A509),"",ROUND(G508-E509+D509,2))</f>
        <v/>
      </c>
      <c r="H509" s="237" t="str">
        <f aca="false">IF(G509&gt;0,IFERROR(H508+(H508*($D$16/12)),""),"")</f>
        <v/>
      </c>
      <c r="I509" s="223" t="str">
        <f aca="false">IF(ISERROR(A510),"",12 - MONTH(B509))</f>
        <v/>
      </c>
      <c r="J509" s="224" t="n">
        <f aca="false">K509</f>
        <v>1</v>
      </c>
      <c r="K509" s="225" t="n">
        <f aca="false">_xlfn.IFNA(IF(B509&gt;=$K$11, 1,0),0)</f>
        <v>1</v>
      </c>
      <c r="L509" s="60" t="str">
        <f aca="false">IF(I509=0,1,"")</f>
        <v/>
      </c>
      <c r="P509" s="4" t="e">
        <f aca="false">IF(AND(G509&gt;E509, A509&lt;&gt;"0.00", V509&lt;&gt;0), $N$5 * ($P$22 ^ V509 - 1), 0)</f>
        <v>#N/A</v>
      </c>
      <c r="V509" s="71" t="e">
        <f aca="false">IF(B509&lt;EDATE($K$11,12), 0,  DATEDIF(EDATE($K$11,12), B509 + 1, "y") + 1 )</f>
        <v>#VALUE!</v>
      </c>
    </row>
    <row r="510" customFormat="false" ht="12.75" hidden="false" customHeight="true" outlineLevel="0" collapsed="false">
      <c r="A510" s="228" t="e">
        <f aca="false">IF(OR(G509="",G509&lt;=0,C509&gt;150),NA(),A509+1)</f>
        <v>#N/A</v>
      </c>
      <c r="B510" s="229" t="str">
        <f aca="false">IF(ISERROR(A510),"",IF($D$9="Annually",EDATE(B509,12),EDATE(B509,1)))</f>
        <v/>
      </c>
      <c r="C510" s="230" t="str">
        <f aca="false">IF(ISERROR(A510),"",C509+IF($D$9="Monthly",1/12,1))</f>
        <v/>
      </c>
      <c r="D510" s="231" t="n">
        <f aca="false">IF(L509&lt;&gt;1, IF(G509&lt;E509,0,D509),IF(L509=1,IFERROR(ROUND(IF($G509 - (E509 * 6) &lt; 0, D509, ($G509 - (E509 * 6)) * $D$8 / 12),2),0) ) )</f>
        <v>0</v>
      </c>
      <c r="E510" s="231" t="n">
        <f aca="false">IF(ISERROR(A510), 0,  MAX(0,   MIN(    ROUND(G509 + D510, 2),    ROUND(FV($S$5, IF(type=1, A510, A509), , IF(J510&lt;&gt;1, -$D$20, -$P$16 + P510), 2), 0)   )  ) )</f>
        <v>0</v>
      </c>
      <c r="F510" s="231" t="n">
        <f aca="false">IF(J510&lt;&gt;1, "", IF(J509&lt;&gt;0, F509, $K$12))</f>
        <v>1</v>
      </c>
      <c r="G510" s="232" t="str">
        <f aca="false">IF(ISERROR(A510),"",ROUND(G509-E510+D510,2))</f>
        <v/>
      </c>
      <c r="H510" s="237" t="str">
        <f aca="false">IF(G510&gt;0,IFERROR(H509+(H509*($D$16/12)),""),"")</f>
        <v/>
      </c>
      <c r="I510" s="223" t="str">
        <f aca="false">IF(ISERROR(A511),"",12 - MONTH(B510))</f>
        <v/>
      </c>
      <c r="J510" s="224" t="n">
        <f aca="false">K510</f>
        <v>1</v>
      </c>
      <c r="K510" s="225" t="n">
        <f aca="false">_xlfn.IFNA(IF(B510&gt;=$K$11, 1,0),0)</f>
        <v>1</v>
      </c>
      <c r="L510" s="60" t="str">
        <f aca="false">IF(I510=0,1,"")</f>
        <v/>
      </c>
      <c r="P510" s="4" t="e">
        <f aca="false">IF(AND(G510&gt;E510, A510&lt;&gt;"0.00", V510&lt;&gt;0), $N$5 * ($P$22 ^ V510 - 1), 0)</f>
        <v>#N/A</v>
      </c>
      <c r="V510" s="71" t="e">
        <f aca="false">IF(B510&lt;EDATE($K$11,12), 0,  DATEDIF(EDATE($K$11,12), B510 + 1, "y") + 1 )</f>
        <v>#VALUE!</v>
      </c>
    </row>
    <row r="511" customFormat="false" ht="12.75" hidden="false" customHeight="true" outlineLevel="0" collapsed="false">
      <c r="A511" s="228" t="e">
        <f aca="false">IF(OR(G510="",G510&lt;=0,C510&gt;150),NA(),A510+1)</f>
        <v>#N/A</v>
      </c>
      <c r="B511" s="229" t="str">
        <f aca="false">IF(ISERROR(A511),"",IF($D$9="Annually",EDATE(B510,12),EDATE(B510,1)))</f>
        <v/>
      </c>
      <c r="C511" s="230" t="str">
        <f aca="false">IF(ISERROR(A511),"",C510+IF($D$9="Monthly",1/12,1))</f>
        <v/>
      </c>
      <c r="D511" s="231" t="n">
        <f aca="false">IF(L510&lt;&gt;1, IF(G510&lt;E510,0,D510),IF(L510=1,IFERROR(ROUND(IF($G510 - (E510 * 6) &lt; 0, D510, ($G510 - (E510 * 6)) * $D$8 / 12),2),0) ) )</f>
        <v>0</v>
      </c>
      <c r="E511" s="231" t="n">
        <f aca="false">IF(ISERROR(A511), 0,  MAX(0,   MIN(    ROUND(G510 + D511, 2),    ROUND(FV($S$5, IF(type=1, A511, A510), , IF(J511&lt;&gt;1, -$D$20, -$P$16 + P511), 2), 0)   )  ) )</f>
        <v>0</v>
      </c>
      <c r="F511" s="231" t="n">
        <f aca="false">IF(J511&lt;&gt;1, "", IF(J510&lt;&gt;0, F510, $K$12))</f>
        <v>1</v>
      </c>
      <c r="G511" s="232" t="str">
        <f aca="false">IF(ISERROR(A511),"",ROUND(G510-E511+D511,2))</f>
        <v/>
      </c>
      <c r="H511" s="237" t="str">
        <f aca="false">IF(G511&gt;0,IFERROR(H510+(H510*($D$16/12)),""),"")</f>
        <v/>
      </c>
      <c r="I511" s="223" t="str">
        <f aca="false">IF(ISERROR(A512),"",12 - MONTH(B511))</f>
        <v/>
      </c>
      <c r="J511" s="224" t="n">
        <f aca="false">K511</f>
        <v>1</v>
      </c>
      <c r="K511" s="225" t="n">
        <f aca="false">_xlfn.IFNA(IF(B511&gt;=$K$11, 1,0),0)</f>
        <v>1</v>
      </c>
      <c r="L511" s="60" t="str">
        <f aca="false">IF(I511=0,1,"")</f>
        <v/>
      </c>
      <c r="P511" s="4" t="e">
        <f aca="false">IF(AND(G511&gt;E511, A511&lt;&gt;"0.00", V511&lt;&gt;0), $N$5 * ($P$22 ^ V511 - 1), 0)</f>
        <v>#N/A</v>
      </c>
      <c r="V511" s="71" t="e">
        <f aca="false">IF(B511&lt;EDATE($K$11,12), 0,  DATEDIF(EDATE($K$11,12), B511 + 1, "y") + 1 )</f>
        <v>#VALUE!</v>
      </c>
    </row>
    <row r="512" customFormat="false" ht="12.75" hidden="false" customHeight="true" outlineLevel="0" collapsed="false">
      <c r="A512" s="228" t="e">
        <f aca="false">IF(OR(G511="",G511&lt;=0,C511&gt;150),NA(),A511+1)</f>
        <v>#N/A</v>
      </c>
      <c r="B512" s="229" t="str">
        <f aca="false">IF(ISERROR(A512),"",IF($D$9="Annually",EDATE(B511,12),EDATE(B511,1)))</f>
        <v/>
      </c>
      <c r="C512" s="230" t="str">
        <f aca="false">IF(ISERROR(A512),"",C511+IF($D$9="Monthly",1/12,1))</f>
        <v/>
      </c>
      <c r="D512" s="231" t="n">
        <f aca="false">IF(L511&lt;&gt;1, IF(G511&lt;E511,0,D511),IF(L511=1,IFERROR(ROUND(IF($G511 - (E511 * 6) &lt; 0, D511, ($G511 - (E511 * 6)) * $D$8 / 12),2),0) ) )</f>
        <v>0</v>
      </c>
      <c r="E512" s="231" t="n">
        <f aca="false">IF(ISERROR(A512), 0,  MAX(0,   MIN(    ROUND(G511 + D512, 2),    ROUND(FV($S$5, IF(type=1, A512, A511), , IF(J512&lt;&gt;1, -$D$20, -$P$16 + P512), 2), 0)   )  ) )</f>
        <v>0</v>
      </c>
      <c r="F512" s="231" t="n">
        <f aca="false">IF(J512&lt;&gt;1, "", IF(J511&lt;&gt;0, F511, $K$12))</f>
        <v>1</v>
      </c>
      <c r="G512" s="232" t="str">
        <f aca="false">IF(ISERROR(A512),"",ROUND(G511-E512+D512,2))</f>
        <v/>
      </c>
      <c r="H512" s="237" t="str">
        <f aca="false">IF(G512&gt;0,IFERROR(H511+(H511*($D$16/12)),""),"")</f>
        <v/>
      </c>
      <c r="I512" s="223" t="str">
        <f aca="false">IF(ISERROR(A513),"",12 - MONTH(B512))</f>
        <v/>
      </c>
      <c r="J512" s="224" t="n">
        <f aca="false">K512</f>
        <v>1</v>
      </c>
      <c r="K512" s="225" t="n">
        <f aca="false">_xlfn.IFNA(IF(B512&gt;=$K$11, 1,0),0)</f>
        <v>1</v>
      </c>
      <c r="L512" s="60" t="str">
        <f aca="false">IF(I512=0,1,"")</f>
        <v/>
      </c>
      <c r="P512" s="4" t="e">
        <f aca="false">IF(AND(G512&gt;E512, A512&lt;&gt;"0.00", V512&lt;&gt;0), $N$5 * ($P$22 ^ V512 - 1), 0)</f>
        <v>#N/A</v>
      </c>
      <c r="V512" s="71" t="e">
        <f aca="false">IF(B512&lt;EDATE($K$11,12), 0,  DATEDIF(EDATE($K$11,12), B512 + 1, "y") + 1 )</f>
        <v>#VALUE!</v>
      </c>
    </row>
    <row r="513" customFormat="false" ht="12.75" hidden="false" customHeight="true" outlineLevel="0" collapsed="false">
      <c r="A513" s="228" t="e">
        <f aca="false">IF(OR(G512="",G512&lt;=0,C512&gt;150),NA(),A512+1)</f>
        <v>#N/A</v>
      </c>
      <c r="B513" s="229" t="str">
        <f aca="false">IF(ISERROR(A513),"",IF($D$9="Annually",EDATE(B512,12),EDATE(B512,1)))</f>
        <v/>
      </c>
      <c r="C513" s="230" t="str">
        <f aca="false">IF(ISERROR(A513),"",C512+IF($D$9="Monthly",1/12,1))</f>
        <v/>
      </c>
      <c r="D513" s="231" t="n">
        <f aca="false">IF(L512&lt;&gt;1, IF(G512&lt;E512,0,D512),IF(L512=1,IFERROR(ROUND(IF($G512 - (E512 * 6) &lt; 0, D512, ($G512 - (E512 * 6)) * $D$8 / 12),2),0) ) )</f>
        <v>0</v>
      </c>
      <c r="E513" s="231" t="n">
        <f aca="false">IF(ISERROR(A513), 0,  MAX(0,   MIN(    ROUND(G512 + D513, 2),    ROUND(FV($S$5, IF(type=1, A513, A512), , IF(J513&lt;&gt;1, -$D$20, -$P$16 + P513), 2), 0)   )  ) )</f>
        <v>0</v>
      </c>
      <c r="F513" s="231" t="n">
        <f aca="false">IF(J513&lt;&gt;1, "", IF(J512&lt;&gt;0, F512, $K$12))</f>
        <v>1</v>
      </c>
      <c r="G513" s="232" t="str">
        <f aca="false">IF(ISERROR(A513),"",ROUND(G512-E513+D513,2))</f>
        <v/>
      </c>
      <c r="H513" s="237" t="str">
        <f aca="false">IF(G513&gt;0,IFERROR(H512+(H512*($D$16/12)),""),"")</f>
        <v/>
      </c>
      <c r="I513" s="223" t="str">
        <f aca="false">IF(ISERROR(A514),"",12 - MONTH(B513))</f>
        <v/>
      </c>
      <c r="J513" s="224" t="n">
        <f aca="false">K513</f>
        <v>1</v>
      </c>
      <c r="K513" s="225" t="n">
        <f aca="false">_xlfn.IFNA(IF(B513&gt;=$K$11, 1,0),0)</f>
        <v>1</v>
      </c>
      <c r="L513" s="60" t="str">
        <f aca="false">IF(I513=0,1,"")</f>
        <v/>
      </c>
      <c r="P513" s="4" t="e">
        <f aca="false">IF(AND(G513&gt;E513, A513&lt;&gt;"0.00", V513&lt;&gt;0), $N$5 * ($P$22 ^ V513 - 1), 0)</f>
        <v>#N/A</v>
      </c>
      <c r="V513" s="71" t="e">
        <f aca="false">IF(B513&lt;EDATE($K$11,12), 0,  DATEDIF(EDATE($K$11,12), B513 + 1, "y") + 1 )</f>
        <v>#VALUE!</v>
      </c>
    </row>
    <row r="514" customFormat="false" ht="12.75" hidden="false" customHeight="true" outlineLevel="0" collapsed="false">
      <c r="A514" s="228" t="e">
        <f aca="false">IF(OR(G513="",G513&lt;=0,C513&gt;150),NA(),A513+1)</f>
        <v>#N/A</v>
      </c>
      <c r="B514" s="229" t="str">
        <f aca="false">IF(ISERROR(A514),"",IF($D$9="Annually",EDATE(B513,12),EDATE(B513,1)))</f>
        <v/>
      </c>
      <c r="C514" s="230" t="str">
        <f aca="false">IF(ISERROR(A514),"",C513+IF($D$9="Monthly",1/12,1))</f>
        <v/>
      </c>
      <c r="D514" s="231" t="n">
        <f aca="false">IF(L513&lt;&gt;1, IF(G513&lt;E513,0,D513),IF(L513=1,IFERROR(ROUND(IF($G513 - (E513 * 6) &lt; 0, D513, ($G513 - (E513 * 6)) * $D$8 / 12),2),0) ) )</f>
        <v>0</v>
      </c>
      <c r="E514" s="231" t="n">
        <f aca="false">IF(ISERROR(A514), 0,  MAX(0,   MIN(    ROUND(G513 + D514, 2),    ROUND(FV($S$5, IF(type=1, A514, A513), , IF(J514&lt;&gt;1, -$D$20, -$P$16 + P514), 2), 0)   )  ) )</f>
        <v>0</v>
      </c>
      <c r="F514" s="231" t="n">
        <f aca="false">IF(J514&lt;&gt;1, "", IF(J513&lt;&gt;0, F513, $K$12))</f>
        <v>1</v>
      </c>
      <c r="G514" s="232" t="str">
        <f aca="false">IF(ISERROR(A514),"",ROUND(G513-E514+D514,2))</f>
        <v/>
      </c>
      <c r="H514" s="237" t="str">
        <f aca="false">IF(G514&gt;0,IFERROR(H513+(H513*($D$16/12)),""),"")</f>
        <v/>
      </c>
      <c r="I514" s="223" t="str">
        <f aca="false">IF(ISERROR(A515),"",12 - MONTH(B514))</f>
        <v/>
      </c>
      <c r="J514" s="224" t="n">
        <f aca="false">K514</f>
        <v>1</v>
      </c>
      <c r="K514" s="225" t="n">
        <f aca="false">_xlfn.IFNA(IF(B514&gt;=$K$11, 1,0),0)</f>
        <v>1</v>
      </c>
      <c r="L514" s="60" t="str">
        <f aca="false">IF(I514=0,1,"")</f>
        <v/>
      </c>
      <c r="P514" s="4" t="e">
        <f aca="false">IF(AND(G514&gt;E514, A514&lt;&gt;"0.00", V514&lt;&gt;0), $N$5 * ($P$22 ^ V514 - 1), 0)</f>
        <v>#N/A</v>
      </c>
      <c r="V514" s="71" t="e">
        <f aca="false">IF(B514&lt;EDATE($K$11,12), 0,  DATEDIF(EDATE($K$11,12), B514 + 1, "y") + 1 )</f>
        <v>#VALUE!</v>
      </c>
    </row>
    <row r="515" customFormat="false" ht="12.75" hidden="false" customHeight="true" outlineLevel="0" collapsed="false">
      <c r="A515" s="228" t="e">
        <f aca="false">IF(OR(G514="",G514&lt;=0,C514&gt;150),NA(),A514+1)</f>
        <v>#N/A</v>
      </c>
      <c r="B515" s="229" t="str">
        <f aca="false">IF(ISERROR(A515),"",IF($D$9="Annually",EDATE(B514,12),EDATE(B514,1)))</f>
        <v/>
      </c>
      <c r="C515" s="230" t="str">
        <f aca="false">IF(ISERROR(A515),"",C514+IF($D$9="Monthly",1/12,1))</f>
        <v/>
      </c>
      <c r="D515" s="231" t="n">
        <f aca="false">IF(L514&lt;&gt;1, IF(G514&lt;E514,0,D514),IF(L514=1,IFERROR(ROUND(IF($G514 - (E514 * 6) &lt; 0, D514, ($G514 - (E514 * 6)) * $D$8 / 12),2),0) ) )</f>
        <v>0</v>
      </c>
      <c r="E515" s="231" t="n">
        <f aca="false">IF(ISERROR(A515), 0,  MAX(0,   MIN(    ROUND(G514 + D515, 2),    ROUND(FV($S$5, IF(type=1, A515, A514), , IF(J515&lt;&gt;1, -$D$20, -$P$16 + P515), 2), 0)   )  ) )</f>
        <v>0</v>
      </c>
      <c r="F515" s="231" t="n">
        <f aca="false">IF(J515&lt;&gt;1, "", IF(J514&lt;&gt;0, F514, $K$12))</f>
        <v>1</v>
      </c>
      <c r="G515" s="232" t="str">
        <f aca="false">IF(ISERROR(A515),"",ROUND(G514-E515+D515,2))</f>
        <v/>
      </c>
      <c r="H515" s="237" t="str">
        <f aca="false">IF(G515&gt;0,IFERROR(H514+(H514*($D$16/12)),""),"")</f>
        <v/>
      </c>
      <c r="I515" s="223" t="str">
        <f aca="false">IF(ISERROR(A516),"",12 - MONTH(B515))</f>
        <v/>
      </c>
      <c r="J515" s="224" t="n">
        <f aca="false">K515</f>
        <v>1</v>
      </c>
      <c r="K515" s="225" t="n">
        <f aca="false">_xlfn.IFNA(IF(B515&gt;=$K$11, 1,0),0)</f>
        <v>1</v>
      </c>
      <c r="L515" s="60" t="str">
        <f aca="false">IF(I515=0,1,"")</f>
        <v/>
      </c>
      <c r="P515" s="4" t="e">
        <f aca="false">IF(AND(G515&gt;E515, A515&lt;&gt;"0.00", V515&lt;&gt;0), $N$5 * ($P$22 ^ V515 - 1), 0)</f>
        <v>#N/A</v>
      </c>
      <c r="V515" s="71" t="e">
        <f aca="false">IF(B515&lt;EDATE($K$11,12), 0,  DATEDIF(EDATE($K$11,12), B515 + 1, "y") + 1 )</f>
        <v>#VALUE!</v>
      </c>
    </row>
    <row r="516" customFormat="false" ht="12.75" hidden="false" customHeight="true" outlineLevel="0" collapsed="false">
      <c r="A516" s="228" t="e">
        <f aca="false">IF(OR(G515="",G515&lt;=0,C515&gt;150),NA(),A515+1)</f>
        <v>#N/A</v>
      </c>
      <c r="B516" s="229" t="str">
        <f aca="false">IF(ISERROR(A516),"",IF($D$9="Annually",EDATE(B515,12),EDATE(B515,1)))</f>
        <v/>
      </c>
      <c r="C516" s="230" t="str">
        <f aca="false">IF(ISERROR(A516),"",C515+IF($D$9="Monthly",1/12,1))</f>
        <v/>
      </c>
      <c r="D516" s="231" t="n">
        <f aca="false">IF(L515&lt;&gt;1, IF(G515&lt;E515,0,D515),IF(L515=1,IFERROR(ROUND(IF($G515 - (E515 * 6) &lt; 0, D515, ($G515 - (E515 * 6)) * $D$8 / 12),2),0) ) )</f>
        <v>0</v>
      </c>
      <c r="E516" s="231" t="n">
        <f aca="false">IF(ISERROR(A516), 0,  MAX(0,   MIN(    ROUND(G515 + D516, 2),    ROUND(FV($S$5, IF(type=1, A516, A515), , IF(J516&lt;&gt;1, -$D$20, -$P$16 + P516), 2), 0)   )  ) )</f>
        <v>0</v>
      </c>
      <c r="F516" s="231" t="n">
        <f aca="false">IF(J516&lt;&gt;1, "", IF(J515&lt;&gt;0, F515, $K$12))</f>
        <v>1</v>
      </c>
      <c r="G516" s="232" t="str">
        <f aca="false">IF(ISERROR(A516),"",ROUND(G515-E516+D516,2))</f>
        <v/>
      </c>
      <c r="H516" s="237" t="str">
        <f aca="false">IF(G516&gt;0,IFERROR(H515+(H515*($D$16/12)),""),"")</f>
        <v/>
      </c>
      <c r="I516" s="223" t="str">
        <f aca="false">IF(ISERROR(A517),"",12 - MONTH(B516))</f>
        <v/>
      </c>
      <c r="J516" s="224" t="n">
        <f aca="false">K516</f>
        <v>1</v>
      </c>
      <c r="K516" s="225" t="n">
        <f aca="false">_xlfn.IFNA(IF(B516&gt;=$K$11, 1,0),0)</f>
        <v>1</v>
      </c>
      <c r="L516" s="60" t="str">
        <f aca="false">IF(I516=0,1,"")</f>
        <v/>
      </c>
      <c r="P516" s="4" t="e">
        <f aca="false">IF(AND(G516&gt;E516, A516&lt;&gt;"0.00", V516&lt;&gt;0), $N$5 * ($P$22 ^ V516 - 1), 0)</f>
        <v>#N/A</v>
      </c>
      <c r="V516" s="71" t="e">
        <f aca="false">IF(B516&lt;EDATE($K$11,12), 0,  DATEDIF(EDATE($K$11,12), B516 + 1, "y") + 1 )</f>
        <v>#VALUE!</v>
      </c>
    </row>
    <row r="517" customFormat="false" ht="12.75" hidden="false" customHeight="true" outlineLevel="0" collapsed="false">
      <c r="A517" s="228" t="e">
        <f aca="false">IF(OR(G516="",G516&lt;=0,C516&gt;150),NA(),A516+1)</f>
        <v>#N/A</v>
      </c>
      <c r="B517" s="229" t="str">
        <f aca="false">IF(ISERROR(A517),"",IF($D$9="Annually",EDATE(B516,12),EDATE(B516,1)))</f>
        <v/>
      </c>
      <c r="C517" s="230" t="str">
        <f aca="false">IF(ISERROR(A517),"",C516+IF($D$9="Monthly",1/12,1))</f>
        <v/>
      </c>
      <c r="D517" s="231" t="n">
        <f aca="false">IF(L516&lt;&gt;1, IF(G516&lt;E516,0,D516),IF(L516=1,IFERROR(ROUND(IF($G516 - (E516 * 6) &lt; 0, D516, ($G516 - (E516 * 6)) * $D$8 / 12),2),0) ) )</f>
        <v>0</v>
      </c>
      <c r="E517" s="231" t="n">
        <f aca="false">IF(ISERROR(A517), 0,  MAX(0,   MIN(    ROUND(G516 + D517, 2),    ROUND(FV($S$5, IF(type=1, A517, A516), , IF(J517&lt;&gt;1, -$D$20, -$P$16 + P517), 2), 0)   )  ) )</f>
        <v>0</v>
      </c>
      <c r="F517" s="231" t="n">
        <f aca="false">IF(J517&lt;&gt;1, "", IF(J516&lt;&gt;0, F516, $K$12))</f>
        <v>1</v>
      </c>
      <c r="G517" s="232" t="str">
        <f aca="false">IF(ISERROR(A517),"",ROUND(G516-E517+D517,2))</f>
        <v/>
      </c>
      <c r="H517" s="237" t="str">
        <f aca="false">IF(G517&gt;0,IFERROR(H516+(H516*($D$16/12)),""),"")</f>
        <v/>
      </c>
      <c r="I517" s="223" t="str">
        <f aca="false">IF(ISERROR(A518),"",12 - MONTH(B517))</f>
        <v/>
      </c>
      <c r="J517" s="224" t="n">
        <f aca="false">K517</f>
        <v>1</v>
      </c>
      <c r="K517" s="225" t="n">
        <f aca="false">_xlfn.IFNA(IF(B517&gt;=$K$11, 1,0),0)</f>
        <v>1</v>
      </c>
      <c r="L517" s="60" t="str">
        <f aca="false">IF(I517=0,1,"")</f>
        <v/>
      </c>
      <c r="P517" s="4" t="e">
        <f aca="false">IF(AND(G517&gt;E517, A517&lt;&gt;"0.00", V517&lt;&gt;0), $N$5 * ($P$22 ^ V517 - 1), 0)</f>
        <v>#N/A</v>
      </c>
      <c r="V517" s="71" t="e">
        <f aca="false">IF(B517&lt;EDATE($K$11,12), 0,  DATEDIF(EDATE($K$11,12), B517 + 1, "y") + 1 )</f>
        <v>#VALUE!</v>
      </c>
    </row>
    <row r="518" customFormat="false" ht="12.75" hidden="false" customHeight="true" outlineLevel="0" collapsed="false">
      <c r="A518" s="228" t="e">
        <f aca="false">IF(OR(G517="",G517&lt;=0,C517&gt;150),NA(),A517+1)</f>
        <v>#N/A</v>
      </c>
      <c r="B518" s="229" t="str">
        <f aca="false">IF(ISERROR(A518),"",IF($D$9="Annually",EDATE(B517,12),EDATE(B517,1)))</f>
        <v/>
      </c>
      <c r="C518" s="230" t="str">
        <f aca="false">IF(ISERROR(A518),"",C517+IF($D$9="Monthly",1/12,1))</f>
        <v/>
      </c>
      <c r="D518" s="231" t="n">
        <f aca="false">IF(L517&lt;&gt;1, IF(G517&lt;E517,0,D517),IF(L517=1,IFERROR(ROUND(IF($G517 - (E517 * 6) &lt; 0, D517, ($G517 - (E517 * 6)) * $D$8 / 12),2),0) ) )</f>
        <v>0</v>
      </c>
      <c r="E518" s="231" t="n">
        <f aca="false">IF(ISERROR(A518), 0,  MAX(0,   MIN(    ROUND(G517 + D518, 2),    ROUND(FV($S$5, IF(type=1, A518, A517), , IF(J518&lt;&gt;1, -$D$20, -$P$16 + P518), 2), 0)   )  ) )</f>
        <v>0</v>
      </c>
      <c r="F518" s="231" t="n">
        <f aca="false">IF(J518&lt;&gt;1, "", IF(J517&lt;&gt;0, F517, $K$12))</f>
        <v>1</v>
      </c>
      <c r="G518" s="232" t="str">
        <f aca="false">IF(ISERROR(A518),"",ROUND(G517-E518+D518,2))</f>
        <v/>
      </c>
      <c r="H518" s="237" t="str">
        <f aca="false">IF(G518&gt;0,IFERROR(H517+(H517*($D$16/12)),""),"")</f>
        <v/>
      </c>
      <c r="I518" s="223" t="str">
        <f aca="false">IF(ISERROR(A519),"",12 - MONTH(B518))</f>
        <v/>
      </c>
      <c r="J518" s="224" t="n">
        <f aca="false">K518</f>
        <v>1</v>
      </c>
      <c r="K518" s="225" t="n">
        <f aca="false">_xlfn.IFNA(IF(B518&gt;=$K$11, 1,0),0)</f>
        <v>1</v>
      </c>
      <c r="L518" s="60" t="str">
        <f aca="false">IF(I518=0,1,"")</f>
        <v/>
      </c>
      <c r="P518" s="4" t="e">
        <f aca="false">IF(AND(G518&gt;E518, A518&lt;&gt;"0.00", V518&lt;&gt;0), $N$5 * ($P$22 ^ V518 - 1), 0)</f>
        <v>#N/A</v>
      </c>
      <c r="V518" s="71" t="e">
        <f aca="false">IF(B518&lt;EDATE($K$11,12), 0,  DATEDIF(EDATE($K$11,12), B518 + 1, "y") + 1 )</f>
        <v>#VALUE!</v>
      </c>
    </row>
    <row r="519" customFormat="false" ht="12.75" hidden="false" customHeight="true" outlineLevel="0" collapsed="false">
      <c r="A519" s="228" t="e">
        <f aca="false">IF(OR(G518="",G518&lt;=0,C518&gt;150),NA(),A518+1)</f>
        <v>#N/A</v>
      </c>
      <c r="B519" s="229" t="str">
        <f aca="false">IF(ISERROR(A519),"",IF($D$9="Annually",EDATE(B518,12),EDATE(B518,1)))</f>
        <v/>
      </c>
      <c r="C519" s="230" t="str">
        <f aca="false">IF(ISERROR(A519),"",C518+IF($D$9="Monthly",1/12,1))</f>
        <v/>
      </c>
      <c r="D519" s="231" t="n">
        <f aca="false">IF(L518&lt;&gt;1, IF(G518&lt;E518,0,D518),IF(L518=1,IFERROR(ROUND(IF($G518 - (E518 * 6) &lt; 0, D518, ($G518 - (E518 * 6)) * $D$8 / 12),2),0) ) )</f>
        <v>0</v>
      </c>
      <c r="E519" s="231" t="n">
        <f aca="false">IF(ISERROR(A519), 0,  MAX(0,   MIN(    ROUND(G518 + D519, 2),    ROUND(FV($S$5, IF(type=1, A519, A518), , IF(J519&lt;&gt;1, -$D$20, -$P$16 + P519), 2), 0)   )  ) )</f>
        <v>0</v>
      </c>
      <c r="F519" s="231" t="n">
        <f aca="false">IF(J519&lt;&gt;1, "", IF(J518&lt;&gt;0, F518, $K$12))</f>
        <v>1</v>
      </c>
      <c r="G519" s="232" t="str">
        <f aca="false">IF(ISERROR(A519),"",ROUND(G518-E519+D519,2))</f>
        <v/>
      </c>
      <c r="H519" s="237" t="str">
        <f aca="false">IF(G519&gt;0,IFERROR(H518+(H518*($D$16/12)),""),"")</f>
        <v/>
      </c>
      <c r="I519" s="223" t="str">
        <f aca="false">IF(ISERROR(A520),"",12 - MONTH(B519))</f>
        <v/>
      </c>
      <c r="J519" s="224" t="n">
        <f aca="false">K519</f>
        <v>1</v>
      </c>
      <c r="K519" s="225" t="n">
        <f aca="false">_xlfn.IFNA(IF(B519&gt;=$K$11, 1,0),0)</f>
        <v>1</v>
      </c>
      <c r="L519" s="60" t="str">
        <f aca="false">IF(I519=0,1,"")</f>
        <v/>
      </c>
      <c r="P519" s="4" t="e">
        <f aca="false">IF(AND(G519&gt;E519, A519&lt;&gt;"0.00", V519&lt;&gt;0), $N$5 * ($P$22 ^ V519 - 1), 0)</f>
        <v>#N/A</v>
      </c>
      <c r="V519" s="71" t="e">
        <f aca="false">IF(B519&lt;EDATE($K$11,12), 0,  DATEDIF(EDATE($K$11,12), B519 + 1, "y") + 1 )</f>
        <v>#VALUE!</v>
      </c>
    </row>
    <row r="520" customFormat="false" ht="12.75" hidden="false" customHeight="true" outlineLevel="0" collapsed="false">
      <c r="A520" s="228" t="e">
        <f aca="false">IF(OR(G519="",G519&lt;=0,C519&gt;150),NA(),A519+1)</f>
        <v>#N/A</v>
      </c>
      <c r="B520" s="229" t="str">
        <f aca="false">IF(ISERROR(A520),"",IF($D$9="Annually",EDATE(B519,12),EDATE(B519,1)))</f>
        <v/>
      </c>
      <c r="C520" s="230" t="str">
        <f aca="false">IF(ISERROR(A520),"",C519+IF($D$9="Monthly",1/12,1))</f>
        <v/>
      </c>
      <c r="D520" s="231" t="n">
        <f aca="false">IF(L519&lt;&gt;1, IF(G519&lt;E519,0,D519),IF(L519=1,IFERROR(ROUND(IF($G519 - (E519 * 6) &lt; 0, D519, ($G519 - (E519 * 6)) * $D$8 / 12),2),0) ) )</f>
        <v>0</v>
      </c>
      <c r="E520" s="231" t="n">
        <f aca="false">IF(ISERROR(A520), 0,  MAX(0,   MIN(    ROUND(G519 + D520, 2),    ROUND(FV($S$5, IF(type=1, A520, A519), , IF(J520&lt;&gt;1, -$D$20, -$P$16 + P520), 2), 0)   )  ) )</f>
        <v>0</v>
      </c>
      <c r="F520" s="231" t="n">
        <f aca="false">IF(J520&lt;&gt;1, "", IF(J519&lt;&gt;0, F519, $K$12))</f>
        <v>1</v>
      </c>
      <c r="G520" s="232" t="str">
        <f aca="false">IF(ISERROR(A520),"",ROUND(G519-E520+D520,2))</f>
        <v/>
      </c>
      <c r="H520" s="237" t="str">
        <f aca="false">IF(G520&gt;0,IFERROR(H519+(H519*($D$16/12)),""),"")</f>
        <v/>
      </c>
      <c r="I520" s="223" t="str">
        <f aca="false">IF(ISERROR(A521),"",12 - MONTH(B520))</f>
        <v/>
      </c>
      <c r="J520" s="224" t="n">
        <f aca="false">K520</f>
        <v>1</v>
      </c>
      <c r="K520" s="225" t="n">
        <f aca="false">_xlfn.IFNA(IF(B520&gt;=$K$11, 1,0),0)</f>
        <v>1</v>
      </c>
      <c r="L520" s="60" t="str">
        <f aca="false">IF(I520=0,1,"")</f>
        <v/>
      </c>
      <c r="P520" s="4" t="e">
        <f aca="false">IF(AND(G520&gt;E520, A520&lt;&gt;"0.00", V520&lt;&gt;0), $N$5 * ($P$22 ^ V520 - 1), 0)</f>
        <v>#N/A</v>
      </c>
      <c r="V520" s="71" t="e">
        <f aca="false">IF(B520&lt;EDATE($K$11,12), 0,  DATEDIF(EDATE($K$11,12), B520 + 1, "y") + 1 )</f>
        <v>#VALUE!</v>
      </c>
    </row>
    <row r="521" customFormat="false" ht="12.75" hidden="false" customHeight="true" outlineLevel="0" collapsed="false">
      <c r="A521" s="228" t="e">
        <f aca="false">IF(OR(G520="",G520&lt;=0,C520&gt;150),NA(),A520+1)</f>
        <v>#N/A</v>
      </c>
      <c r="B521" s="229" t="str">
        <f aca="false">IF(ISERROR(A521),"",IF($D$9="Annually",EDATE(B520,12),EDATE(B520,1)))</f>
        <v/>
      </c>
      <c r="C521" s="230" t="str">
        <f aca="false">IF(ISERROR(A521),"",C520+IF($D$9="Monthly",1/12,1))</f>
        <v/>
      </c>
      <c r="D521" s="231" t="n">
        <f aca="false">IF(L520&lt;&gt;1, IF(G520&lt;E520,0,D520),IF(L520=1,IFERROR(ROUND(IF($G520 - (E520 * 6) &lt; 0, D520, ($G520 - (E520 * 6)) * $D$8 / 12),2),0) ) )</f>
        <v>0</v>
      </c>
      <c r="E521" s="231" t="n">
        <f aca="false">IF(ISERROR(A521), 0,  MAX(0,   MIN(    ROUND(G520 + D521, 2),    ROUND(FV($S$5, IF(type=1, A521, A520), , IF(J521&lt;&gt;1, -$D$20, -$P$16 + P521), 2), 0)   )  ) )</f>
        <v>0</v>
      </c>
      <c r="F521" s="231" t="n">
        <f aca="false">IF(J521&lt;&gt;1, "", IF(J520&lt;&gt;0, F520, $K$12))</f>
        <v>1</v>
      </c>
      <c r="G521" s="232" t="str">
        <f aca="false">IF(ISERROR(A521),"",ROUND(G520-E521+D521,2))</f>
        <v/>
      </c>
      <c r="H521" s="237" t="str">
        <f aca="false">IF(G521&gt;0,IFERROR(H520+(H520*($D$16/12)),""),"")</f>
        <v/>
      </c>
      <c r="I521" s="223" t="str">
        <f aca="false">IF(ISERROR(A522),"",12 - MONTH(B521))</f>
        <v/>
      </c>
      <c r="J521" s="224" t="n">
        <f aca="false">K521</f>
        <v>1</v>
      </c>
      <c r="K521" s="225" t="n">
        <f aca="false">_xlfn.IFNA(IF(B521&gt;=$K$11, 1,0),0)</f>
        <v>1</v>
      </c>
      <c r="L521" s="60" t="str">
        <f aca="false">IF(I521=0,1,"")</f>
        <v/>
      </c>
      <c r="P521" s="4" t="e">
        <f aca="false">IF(AND(G521&gt;E521, A521&lt;&gt;"0.00", V521&lt;&gt;0), $N$5 * ($P$22 ^ V521 - 1), 0)</f>
        <v>#N/A</v>
      </c>
      <c r="V521" s="71" t="e">
        <f aca="false">IF(B521&lt;EDATE($K$11,12), 0,  DATEDIF(EDATE($K$11,12), B521 + 1, "y") + 1 )</f>
        <v>#VALUE!</v>
      </c>
    </row>
    <row r="522" customFormat="false" ht="12.75" hidden="false" customHeight="true" outlineLevel="0" collapsed="false">
      <c r="A522" s="228" t="e">
        <f aca="false">IF(OR(G521="",G521&lt;=0,C521&gt;150),NA(),A521+1)</f>
        <v>#N/A</v>
      </c>
      <c r="B522" s="229" t="str">
        <f aca="false">IF(ISERROR(A522),"",IF($D$9="Annually",EDATE(B521,12),EDATE(B521,1)))</f>
        <v/>
      </c>
      <c r="C522" s="230" t="str">
        <f aca="false">IF(ISERROR(A522),"",C521+IF($D$9="Monthly",1/12,1))</f>
        <v/>
      </c>
      <c r="D522" s="231" t="n">
        <f aca="false">IF(L521&lt;&gt;1, IF(G521&lt;E521,0,D521),IF(L521=1,IFERROR(ROUND(IF($G521 - (E521 * 6) &lt; 0, D521, ($G521 - (E521 * 6)) * $D$8 / 12),2),0) ) )</f>
        <v>0</v>
      </c>
      <c r="E522" s="231" t="n">
        <f aca="false">IF(ISERROR(A522), 0,  MAX(0,   MIN(    ROUND(G521 + D522, 2),    ROUND(FV($S$5, IF(type=1, A522, A521), , IF(J522&lt;&gt;1, -$D$20, -$P$16 + P522), 2), 0)   )  ) )</f>
        <v>0</v>
      </c>
      <c r="F522" s="231" t="n">
        <f aca="false">IF(J522&lt;&gt;1, "", IF(J521&lt;&gt;0, F521, $K$12))</f>
        <v>1</v>
      </c>
      <c r="G522" s="232" t="str">
        <f aca="false">IF(ISERROR(A522),"",ROUND(G521-E522+D522,2))</f>
        <v/>
      </c>
      <c r="H522" s="237" t="str">
        <f aca="false">IF(G522&gt;0,IFERROR(H521+(H521*($D$16/12)),""),"")</f>
        <v/>
      </c>
      <c r="I522" s="223" t="str">
        <f aca="false">IF(ISERROR(A523),"",12 - MONTH(B522))</f>
        <v/>
      </c>
      <c r="J522" s="224" t="n">
        <f aca="false">K522</f>
        <v>1</v>
      </c>
      <c r="K522" s="225" t="n">
        <f aca="false">_xlfn.IFNA(IF(B522&gt;=$K$11, 1,0),0)</f>
        <v>1</v>
      </c>
      <c r="L522" s="60" t="str">
        <f aca="false">IF(I522=0,1,"")</f>
        <v/>
      </c>
      <c r="P522" s="4" t="e">
        <f aca="false">IF(AND(G522&gt;E522, A522&lt;&gt;"0.00", V522&lt;&gt;0), $N$5 * ($P$22 ^ V522 - 1), 0)</f>
        <v>#N/A</v>
      </c>
      <c r="V522" s="71" t="e">
        <f aca="false">IF(B522&lt;EDATE($K$11,12), 0,  DATEDIF(EDATE($K$11,12), B522 + 1, "y") + 1 )</f>
        <v>#VALUE!</v>
      </c>
    </row>
    <row r="523" customFormat="false" ht="12.75" hidden="false" customHeight="true" outlineLevel="0" collapsed="false">
      <c r="A523" s="228" t="e">
        <f aca="false">IF(OR(G522="",G522&lt;=0,C522&gt;150),NA(),A522+1)</f>
        <v>#N/A</v>
      </c>
      <c r="B523" s="229" t="str">
        <f aca="false">IF(ISERROR(A523),"",IF($D$9="Annually",EDATE(B522,12),EDATE(B522,1)))</f>
        <v/>
      </c>
      <c r="C523" s="230" t="str">
        <f aca="false">IF(ISERROR(A523),"",C522+IF($D$9="Monthly",1/12,1))</f>
        <v/>
      </c>
      <c r="D523" s="231" t="n">
        <f aca="false">IF(L522&lt;&gt;1, IF(G522&lt;E522,0,D522),IF(L522=1,IFERROR(ROUND(IF($G522 - (E522 * 6) &lt; 0, D522, ($G522 - (E522 * 6)) * $D$8 / 12),2),0) ) )</f>
        <v>0</v>
      </c>
      <c r="E523" s="231" t="n">
        <f aca="false">IF(ISERROR(A523), 0,  MAX(0,   MIN(    ROUND(G522 + D523, 2),    ROUND(FV($S$5, IF(type=1, A523, A522), , IF(J523&lt;&gt;1, -$D$20, -$P$16 + P523), 2), 0)   )  ) )</f>
        <v>0</v>
      </c>
      <c r="F523" s="231" t="n">
        <f aca="false">IF(J523&lt;&gt;1, "", IF(J522&lt;&gt;0, F522, $K$12))</f>
        <v>1</v>
      </c>
      <c r="G523" s="232" t="str">
        <f aca="false">IF(ISERROR(A523),"",ROUND(G522-E523+D523,2))</f>
        <v/>
      </c>
      <c r="H523" s="237" t="str">
        <f aca="false">IF(G523&gt;0,IFERROR(H522+(H522*($D$16/12)),""),"")</f>
        <v/>
      </c>
      <c r="I523" s="223" t="str">
        <f aca="false">IF(ISERROR(A524),"",12 - MONTH(B523))</f>
        <v/>
      </c>
      <c r="J523" s="224" t="n">
        <f aca="false">K523</f>
        <v>1</v>
      </c>
      <c r="K523" s="225" t="n">
        <f aca="false">_xlfn.IFNA(IF(B523&gt;=$K$11, 1,0),0)</f>
        <v>1</v>
      </c>
      <c r="L523" s="60" t="str">
        <f aca="false">IF(I523=0,1,"")</f>
        <v/>
      </c>
      <c r="P523" s="4" t="e">
        <f aca="false">IF(AND(G523&gt;E523, A523&lt;&gt;"0.00", V523&lt;&gt;0), $N$5 * ($P$22 ^ V523 - 1), 0)</f>
        <v>#N/A</v>
      </c>
      <c r="V523" s="71" t="e">
        <f aca="false">IF(B523&lt;EDATE($K$11,12), 0,  DATEDIF(EDATE($K$11,12), B523 + 1, "y") + 1 )</f>
        <v>#VALUE!</v>
      </c>
    </row>
    <row r="524" customFormat="false" ht="12.75" hidden="false" customHeight="true" outlineLevel="0" collapsed="false">
      <c r="A524" s="228" t="e">
        <f aca="false">IF(OR(G523="",G523&lt;=0,C523&gt;150),NA(),A523+1)</f>
        <v>#N/A</v>
      </c>
      <c r="B524" s="229" t="str">
        <f aca="false">IF(ISERROR(A524),"",IF($D$9="Annually",EDATE(B523,12),EDATE(B523,1)))</f>
        <v/>
      </c>
      <c r="C524" s="230" t="str">
        <f aca="false">IF(ISERROR(A524),"",C523+IF($D$9="Monthly",1/12,1))</f>
        <v/>
      </c>
      <c r="D524" s="231" t="n">
        <f aca="false">IF(L523&lt;&gt;1, IF(G523&lt;E523,0,D523),IF(L523=1,IFERROR(ROUND(IF($G523 - (E523 * 6) &lt; 0, D523, ($G523 - (E523 * 6)) * $D$8 / 12),2),0) ) )</f>
        <v>0</v>
      </c>
      <c r="E524" s="231" t="n">
        <f aca="false">IF(ISERROR(A524), 0,  MAX(0,   MIN(    ROUND(G523 + D524, 2),    ROUND(FV($S$5, IF(type=1, A524, A523), , IF(J524&lt;&gt;1, -$D$20, -$P$16 + P524), 2), 0)   )  ) )</f>
        <v>0</v>
      </c>
      <c r="F524" s="231" t="n">
        <f aca="false">IF(J524&lt;&gt;1, "", IF(J523&lt;&gt;0, F523, $K$12))</f>
        <v>1</v>
      </c>
      <c r="G524" s="232" t="str">
        <f aca="false">IF(ISERROR(A524),"",ROUND(G523-E524+D524,2))</f>
        <v/>
      </c>
      <c r="H524" s="237" t="str">
        <f aca="false">IF(G524&gt;0,IFERROR(H523+(H523*($D$16/12)),""),"")</f>
        <v/>
      </c>
      <c r="I524" s="223" t="str">
        <f aca="false">IF(ISERROR(A525),"",12 - MONTH(B524))</f>
        <v/>
      </c>
      <c r="J524" s="224" t="n">
        <f aca="false">K524</f>
        <v>1</v>
      </c>
      <c r="K524" s="225" t="n">
        <f aca="false">_xlfn.IFNA(IF(B524&gt;=$K$11, 1,0),0)</f>
        <v>1</v>
      </c>
      <c r="L524" s="60" t="str">
        <f aca="false">IF(I524=0,1,"")</f>
        <v/>
      </c>
      <c r="P524" s="4" t="e">
        <f aca="false">IF(AND(G524&gt;E524, A524&lt;&gt;"0.00", V524&lt;&gt;0), $N$5 * ($P$22 ^ V524 - 1), 0)</f>
        <v>#N/A</v>
      </c>
      <c r="V524" s="71" t="e">
        <f aca="false">IF(B524&lt;EDATE($K$11,12), 0,  DATEDIF(EDATE($K$11,12), B524 + 1, "y") + 1 )</f>
        <v>#VALUE!</v>
      </c>
    </row>
    <row r="525" customFormat="false" ht="12.75" hidden="false" customHeight="true" outlineLevel="0" collapsed="false">
      <c r="A525" s="228" t="e">
        <f aca="false">IF(OR(G524="",G524&lt;=0,C524&gt;150),NA(),A524+1)</f>
        <v>#N/A</v>
      </c>
      <c r="B525" s="229" t="str">
        <f aca="false">IF(ISERROR(A525),"",IF($D$9="Annually",EDATE(B524,12),EDATE(B524,1)))</f>
        <v/>
      </c>
      <c r="C525" s="230" t="str">
        <f aca="false">IF(ISERROR(A525),"",C524+IF($D$9="Monthly",1/12,1))</f>
        <v/>
      </c>
      <c r="D525" s="231" t="n">
        <f aca="false">IF(L524&lt;&gt;1, IF(G524&lt;E524,0,D524),IF(L524=1,IFERROR(ROUND(IF($G524 - (E524 * 6) &lt; 0, D524, ($G524 - (E524 * 6)) * $D$8 / 12),2),0) ) )</f>
        <v>0</v>
      </c>
      <c r="E525" s="231" t="n">
        <f aca="false">IF(ISERROR(A525), 0,  MAX(0,   MIN(    ROUND(G524 + D525, 2),    ROUND(FV($S$5, IF(type=1, A525, A524), , IF(J525&lt;&gt;1, -$D$20, -$P$16 + P525), 2), 0)   )  ) )</f>
        <v>0</v>
      </c>
      <c r="F525" s="231" t="n">
        <f aca="false">IF(J525&lt;&gt;1, "", IF(J524&lt;&gt;0, F524, $K$12))</f>
        <v>1</v>
      </c>
      <c r="G525" s="232" t="str">
        <f aca="false">IF(ISERROR(A525),"",ROUND(G524-E525+D525,2))</f>
        <v/>
      </c>
      <c r="H525" s="237" t="str">
        <f aca="false">IF(G525&gt;0,IFERROR(H524+(H524*($D$16/12)),""),"")</f>
        <v/>
      </c>
      <c r="I525" s="223" t="str">
        <f aca="false">IF(ISERROR(A526),"",12 - MONTH(B525))</f>
        <v/>
      </c>
      <c r="J525" s="224" t="n">
        <f aca="false">K525</f>
        <v>1</v>
      </c>
      <c r="K525" s="225" t="n">
        <f aca="false">_xlfn.IFNA(IF(B525&gt;=$K$11, 1,0),0)</f>
        <v>1</v>
      </c>
      <c r="L525" s="60" t="str">
        <f aca="false">IF(I525=0,1,"")</f>
        <v/>
      </c>
      <c r="P525" s="4" t="e">
        <f aca="false">IF(AND(G525&gt;E525, A525&lt;&gt;"0.00", V525&lt;&gt;0), $N$5 * ($P$22 ^ V525 - 1), 0)</f>
        <v>#N/A</v>
      </c>
      <c r="V525" s="71" t="e">
        <f aca="false">IF(B525&lt;EDATE($K$11,12), 0,  DATEDIF(EDATE($K$11,12), B525 + 1, "y") + 1 )</f>
        <v>#VALUE!</v>
      </c>
    </row>
    <row r="526" customFormat="false" ht="12.75" hidden="false" customHeight="true" outlineLevel="0" collapsed="false">
      <c r="A526" s="228" t="e">
        <f aca="false">IF(OR(G525="",G525&lt;=0,C525&gt;150),NA(),A525+1)</f>
        <v>#N/A</v>
      </c>
      <c r="B526" s="229" t="str">
        <f aca="false">IF(ISERROR(A526),"",IF($D$9="Annually",EDATE(B525,12),EDATE(B525,1)))</f>
        <v/>
      </c>
      <c r="C526" s="230" t="str">
        <f aca="false">IF(ISERROR(A526),"",C525+IF($D$9="Monthly",1/12,1))</f>
        <v/>
      </c>
      <c r="D526" s="231" t="n">
        <f aca="false">IF(L525&lt;&gt;1, IF(G525&lt;E525,0,D525),IF(L525=1,IFERROR(ROUND(IF($G525 - (E525 * 6) &lt; 0, D525, ($G525 - (E525 * 6)) * $D$8 / 12),2),0) ) )</f>
        <v>0</v>
      </c>
      <c r="E526" s="231" t="n">
        <f aca="false">IF(ISERROR(A526), 0,  MAX(0,   MIN(    ROUND(G525 + D526, 2),    ROUND(FV($S$5, IF(type=1, A526, A525), , IF(J526&lt;&gt;1, -$D$20, -$P$16 + P526), 2), 0)   )  ) )</f>
        <v>0</v>
      </c>
      <c r="F526" s="231" t="n">
        <f aca="false">IF(J526&lt;&gt;1, "", IF(J525&lt;&gt;0, F525, $K$12))</f>
        <v>1</v>
      </c>
      <c r="G526" s="232" t="str">
        <f aca="false">IF(ISERROR(A526),"",ROUND(G525-E526+D526,2))</f>
        <v/>
      </c>
      <c r="H526" s="237" t="str">
        <f aca="false">IF(G526&gt;0,IFERROR(H525+(H525*($D$16/12)),""),"")</f>
        <v/>
      </c>
      <c r="I526" s="223" t="str">
        <f aca="false">IF(ISERROR(A527),"",12 - MONTH(B526))</f>
        <v/>
      </c>
      <c r="J526" s="224" t="n">
        <f aca="false">K526</f>
        <v>1</v>
      </c>
      <c r="K526" s="225" t="n">
        <f aca="false">_xlfn.IFNA(IF(B526&gt;=$K$11, 1,0),0)</f>
        <v>1</v>
      </c>
      <c r="L526" s="60" t="str">
        <f aca="false">IF(I526=0,1,"")</f>
        <v/>
      </c>
      <c r="P526" s="4" t="e">
        <f aca="false">IF(AND(G526&gt;E526, A526&lt;&gt;"0.00", V526&lt;&gt;0), $N$5 * ($P$22 ^ V526 - 1), 0)</f>
        <v>#N/A</v>
      </c>
      <c r="V526" s="71" t="e">
        <f aca="false">IF(B526&lt;EDATE($K$11,12), 0,  DATEDIF(EDATE($K$11,12), B526 + 1, "y") + 1 )</f>
        <v>#VALUE!</v>
      </c>
    </row>
    <row r="527" customFormat="false" ht="12.75" hidden="false" customHeight="true" outlineLevel="0" collapsed="false">
      <c r="A527" s="228" t="e">
        <f aca="false">IF(OR(G526="",G526&lt;=0,C526&gt;150),NA(),A526+1)</f>
        <v>#N/A</v>
      </c>
      <c r="B527" s="229" t="str">
        <f aca="false">IF(ISERROR(A527),"",IF($D$9="Annually",EDATE(B526,12),EDATE(B526,1)))</f>
        <v/>
      </c>
      <c r="C527" s="230" t="str">
        <f aca="false">IF(ISERROR(A527),"",C526+IF($D$9="Monthly",1/12,1))</f>
        <v/>
      </c>
      <c r="D527" s="231" t="n">
        <f aca="false">IF(L526&lt;&gt;1, IF(G526&lt;E526,0,D526),IF(L526=1,IFERROR(ROUND(IF($G526 - (E526 * 6) &lt; 0, D526, ($G526 - (E526 * 6)) * $D$8 / 12),2),0) ) )</f>
        <v>0</v>
      </c>
      <c r="E527" s="231" t="n">
        <f aca="false">IF(ISERROR(A527), 0,  MAX(0,   MIN(    ROUND(G526 + D527, 2),    ROUND(FV($S$5, IF(type=1, A527, A526), , IF(J527&lt;&gt;1, -$D$20, -$P$16 + P527), 2), 0)   )  ) )</f>
        <v>0</v>
      </c>
      <c r="F527" s="231" t="n">
        <f aca="false">IF(J527&lt;&gt;1, "", IF(J526&lt;&gt;0, F526, $K$12))</f>
        <v>1</v>
      </c>
      <c r="G527" s="232" t="str">
        <f aca="false">IF(ISERROR(A527),"",ROUND(G526-E527+D527,2))</f>
        <v/>
      </c>
      <c r="H527" s="237" t="str">
        <f aca="false">IF(G527&gt;0,IFERROR(H526+(H526*($D$16/12)),""),"")</f>
        <v/>
      </c>
      <c r="I527" s="223" t="str">
        <f aca="false">IF(ISERROR(A528),"",12 - MONTH(B527))</f>
        <v/>
      </c>
      <c r="J527" s="224" t="n">
        <f aca="false">K527</f>
        <v>1</v>
      </c>
      <c r="K527" s="225" t="n">
        <f aca="false">_xlfn.IFNA(IF(B527&gt;=$K$11, 1,0),0)</f>
        <v>1</v>
      </c>
      <c r="L527" s="60" t="str">
        <f aca="false">IF(I527=0,1,"")</f>
        <v/>
      </c>
      <c r="P527" s="4" t="e">
        <f aca="false">IF(AND(G527&gt;E527, A527&lt;&gt;"0.00", V527&lt;&gt;0), $N$5 * ($P$22 ^ V527 - 1), 0)</f>
        <v>#N/A</v>
      </c>
      <c r="V527" s="71" t="e">
        <f aca="false">IF(B527&lt;EDATE($K$11,12), 0,  DATEDIF(EDATE($K$11,12), B527 + 1, "y") + 1 )</f>
        <v>#VALUE!</v>
      </c>
    </row>
    <row r="528" customFormat="false" ht="12.75" hidden="false" customHeight="true" outlineLevel="0" collapsed="false">
      <c r="A528" s="228" t="e">
        <f aca="false">IF(OR(G527="",G527&lt;=0,C527&gt;150),NA(),A527+1)</f>
        <v>#N/A</v>
      </c>
      <c r="B528" s="229" t="str">
        <f aca="false">IF(ISERROR(A528),"",IF($D$9="Annually",EDATE(B527,12),EDATE(B527,1)))</f>
        <v/>
      </c>
      <c r="C528" s="230" t="str">
        <f aca="false">IF(ISERROR(A528),"",C527+IF($D$9="Monthly",1/12,1))</f>
        <v/>
      </c>
      <c r="D528" s="231" t="n">
        <f aca="false">IF(L527&lt;&gt;1, IF(G527&lt;E527,0,D527),IF(L527=1,IFERROR(ROUND(IF($G527 - (E527 * 6) &lt; 0, D527, ($G527 - (E527 * 6)) * $D$8 / 12),2),0) ) )</f>
        <v>0</v>
      </c>
      <c r="E528" s="231" t="n">
        <f aca="false">IF(ISERROR(A528), 0,  MAX(0,   MIN(    ROUND(G527 + D528, 2),    ROUND(FV($S$5, IF(type=1, A528, A527), , IF(J528&lt;&gt;1, -$D$20, -$P$16 + P528), 2), 0)   )  ) )</f>
        <v>0</v>
      </c>
      <c r="F528" s="231" t="n">
        <f aca="false">IF(J528&lt;&gt;1, "", IF(J527&lt;&gt;0, F527, $K$12))</f>
        <v>1</v>
      </c>
      <c r="G528" s="232" t="str">
        <f aca="false">IF(ISERROR(A528),"",ROUND(G527-E528+D528,2))</f>
        <v/>
      </c>
      <c r="H528" s="237" t="str">
        <f aca="false">IF(G528&gt;0,IFERROR(H527+(H527*($D$16/12)),""),"")</f>
        <v/>
      </c>
      <c r="I528" s="223" t="str">
        <f aca="false">IF(ISERROR(A529),"",12 - MONTH(B528))</f>
        <v/>
      </c>
      <c r="J528" s="224" t="n">
        <f aca="false">K528</f>
        <v>1</v>
      </c>
      <c r="K528" s="225" t="n">
        <f aca="false">_xlfn.IFNA(IF(B528&gt;=$K$11, 1,0),0)</f>
        <v>1</v>
      </c>
      <c r="L528" s="60" t="str">
        <f aca="false">IF(I528=0,1,"")</f>
        <v/>
      </c>
      <c r="P528" s="4" t="e">
        <f aca="false">IF(AND(G528&gt;E528, A528&lt;&gt;"0.00", V528&lt;&gt;0), $N$5 * ($P$22 ^ V528 - 1), 0)</f>
        <v>#N/A</v>
      </c>
      <c r="V528" s="71" t="e">
        <f aca="false">IF(B528&lt;EDATE($K$11,12), 0,  DATEDIF(EDATE($K$11,12), B528 + 1, "y") + 1 )</f>
        <v>#VALUE!</v>
      </c>
    </row>
    <row r="529" customFormat="false" ht="12.75" hidden="false" customHeight="true" outlineLevel="0" collapsed="false">
      <c r="A529" s="228" t="e">
        <f aca="false">IF(OR(G528="",G528&lt;=0,C528&gt;150),NA(),A528+1)</f>
        <v>#N/A</v>
      </c>
      <c r="B529" s="229" t="str">
        <f aca="false">IF(ISERROR(A529),"",IF($D$9="Annually",EDATE(B528,12),EDATE(B528,1)))</f>
        <v/>
      </c>
      <c r="C529" s="230" t="str">
        <f aca="false">IF(ISERROR(A529),"",C528+IF($D$9="Monthly",1/12,1))</f>
        <v/>
      </c>
      <c r="D529" s="231" t="n">
        <f aca="false">IF(L528&lt;&gt;1, IF(G528&lt;E528,0,D528),IF(L528=1,IFERROR(ROUND(IF($G528 - (E528 * 6) &lt; 0, D528, ($G528 - (E528 * 6)) * $D$8 / 12),2),0) ) )</f>
        <v>0</v>
      </c>
      <c r="E529" s="231" t="n">
        <f aca="false">IF(ISERROR(A529), 0,  MAX(0,   MIN(    ROUND(G528 + D529, 2),    ROUND(FV($S$5, IF(type=1, A529, A528), , IF(J529&lt;&gt;1, -$D$20, -$P$16 + P529), 2), 0)   )  ) )</f>
        <v>0</v>
      </c>
      <c r="F529" s="231" t="n">
        <f aca="false">IF(J529&lt;&gt;1, "", IF(J528&lt;&gt;0, F528, $K$12))</f>
        <v>1</v>
      </c>
      <c r="G529" s="232" t="str">
        <f aca="false">IF(ISERROR(A529),"",ROUND(G528-E529+D529,2))</f>
        <v/>
      </c>
      <c r="H529" s="237" t="str">
        <f aca="false">IF(G529&gt;0,IFERROR(H528+(H528*($D$16/12)),""),"")</f>
        <v/>
      </c>
      <c r="I529" s="223" t="str">
        <f aca="false">IF(ISERROR(A530),"",12 - MONTH(B529))</f>
        <v/>
      </c>
      <c r="J529" s="224" t="n">
        <f aca="false">K529</f>
        <v>1</v>
      </c>
      <c r="K529" s="225" t="n">
        <f aca="false">_xlfn.IFNA(IF(B529&gt;=$K$11, 1,0),0)</f>
        <v>1</v>
      </c>
      <c r="L529" s="60" t="str">
        <f aca="false">IF(I529=0,1,"")</f>
        <v/>
      </c>
      <c r="P529" s="4" t="e">
        <f aca="false">IF(AND(G529&gt;E529, A529&lt;&gt;"0.00", V529&lt;&gt;0), $N$5 * ($P$22 ^ V529 - 1), 0)</f>
        <v>#N/A</v>
      </c>
      <c r="V529" s="71" t="e">
        <f aca="false">IF(B529&lt;EDATE($K$11,12), 0,  DATEDIF(EDATE($K$11,12), B529 + 1, "y") + 1 )</f>
        <v>#VALUE!</v>
      </c>
    </row>
    <row r="530" customFormat="false" ht="12.75" hidden="false" customHeight="true" outlineLevel="0" collapsed="false">
      <c r="A530" s="228" t="e">
        <f aca="false">IF(OR(G529="",G529&lt;=0,C529&gt;150),NA(),A529+1)</f>
        <v>#N/A</v>
      </c>
      <c r="B530" s="229" t="str">
        <f aca="false">IF(ISERROR(A530),"",IF($D$9="Annually",EDATE(B529,12),EDATE(B529,1)))</f>
        <v/>
      </c>
      <c r="C530" s="230" t="str">
        <f aca="false">IF(ISERROR(A530),"",C529+IF($D$9="Monthly",1/12,1))</f>
        <v/>
      </c>
      <c r="D530" s="231" t="n">
        <f aca="false">IF(L529&lt;&gt;1, IF(G529&lt;E529,0,D529),IF(L529=1,IFERROR(ROUND(IF($G529 - (E529 * 6) &lt; 0, D529, ($G529 - (E529 * 6)) * $D$8 / 12),2),0) ) )</f>
        <v>0</v>
      </c>
      <c r="E530" s="231" t="n">
        <f aca="false">IF(ISERROR(A530), 0,  MAX(0,   MIN(    ROUND(G529 + D530, 2),    ROUND(FV($S$5, IF(type=1, A530, A529), , IF(J530&lt;&gt;1, -$D$20, -$P$16 + P530), 2), 0)   )  ) )</f>
        <v>0</v>
      </c>
      <c r="F530" s="231" t="n">
        <f aca="false">IF(J530&lt;&gt;1, "", IF(J529&lt;&gt;0, F529, $K$12))</f>
        <v>1</v>
      </c>
      <c r="G530" s="232" t="str">
        <f aca="false">IF(ISERROR(A530),"",ROUND(G529-E530+D530,2))</f>
        <v/>
      </c>
      <c r="H530" s="237" t="str">
        <f aca="false">IF(G530&gt;0,IFERROR(H529+(H529*($D$16/12)),""),"")</f>
        <v/>
      </c>
      <c r="I530" s="223" t="str">
        <f aca="false">IF(ISERROR(A531),"",12 - MONTH(B530))</f>
        <v/>
      </c>
      <c r="J530" s="224" t="n">
        <f aca="false">K530</f>
        <v>1</v>
      </c>
      <c r="K530" s="225" t="n">
        <f aca="false">_xlfn.IFNA(IF(B530&gt;=$K$11, 1,0),0)</f>
        <v>1</v>
      </c>
      <c r="L530" s="60" t="str">
        <f aca="false">IF(I530=0,1,"")</f>
        <v/>
      </c>
      <c r="P530" s="4" t="e">
        <f aca="false">IF(AND(G530&gt;E530, A530&lt;&gt;"0.00", V530&lt;&gt;0), $N$5 * ($P$22 ^ V530 - 1), 0)</f>
        <v>#N/A</v>
      </c>
      <c r="V530" s="71" t="e">
        <f aca="false">IF(B530&lt;EDATE($K$11,12), 0,  DATEDIF(EDATE($K$11,12), B530 + 1, "y") + 1 )</f>
        <v>#VALUE!</v>
      </c>
    </row>
    <row r="531" customFormat="false" ht="12.75" hidden="false" customHeight="true" outlineLevel="0" collapsed="false">
      <c r="A531" s="228" t="e">
        <f aca="false">IF(OR(G530="",G530&lt;=0,C530&gt;150),NA(),A530+1)</f>
        <v>#N/A</v>
      </c>
      <c r="B531" s="229" t="str">
        <f aca="false">IF(ISERROR(A531),"",IF($D$9="Annually",EDATE(B530,12),EDATE(B530,1)))</f>
        <v/>
      </c>
      <c r="C531" s="230" t="str">
        <f aca="false">IF(ISERROR(A531),"",C530+IF($D$9="Monthly",1/12,1))</f>
        <v/>
      </c>
      <c r="D531" s="231" t="n">
        <f aca="false">IF(L530&lt;&gt;1, IF(G530&lt;E530,0,D530),IF(L530=1,IFERROR(ROUND(IF($G530 - (E530 * 6) &lt; 0, D530, ($G530 - (E530 * 6)) * $D$8 / 12),2),0) ) )</f>
        <v>0</v>
      </c>
      <c r="E531" s="231" t="n">
        <f aca="false">IF(ISERROR(A531), 0,  MAX(0,   MIN(    ROUND(G530 + D531, 2),    ROUND(FV($S$5, IF(type=1, A531, A530), , IF(J531&lt;&gt;1, -$D$20, -$P$16 + P531), 2), 0)   )  ) )</f>
        <v>0</v>
      </c>
      <c r="F531" s="231" t="n">
        <f aca="false">IF(J531&lt;&gt;1, "", IF(J530&lt;&gt;0, F530, $K$12))</f>
        <v>1</v>
      </c>
      <c r="G531" s="232" t="str">
        <f aca="false">IF(ISERROR(A531),"",ROUND(G530-E531+D531,2))</f>
        <v/>
      </c>
      <c r="H531" s="237" t="str">
        <f aca="false">IF(G531&gt;0,IFERROR(H530+(H530*($D$16/12)),""),"")</f>
        <v/>
      </c>
      <c r="I531" s="223" t="str">
        <f aca="false">IF(ISERROR(A532),"",12 - MONTH(B531))</f>
        <v/>
      </c>
      <c r="J531" s="224" t="n">
        <f aca="false">K531</f>
        <v>1</v>
      </c>
      <c r="K531" s="225" t="n">
        <f aca="false">_xlfn.IFNA(IF(B531&gt;=$K$11, 1,0),0)</f>
        <v>1</v>
      </c>
      <c r="L531" s="60" t="str">
        <f aca="false">IF(I531=0,1,"")</f>
        <v/>
      </c>
      <c r="P531" s="4" t="e">
        <f aca="false">IF(AND(G531&gt;E531, A531&lt;&gt;"0.00", V531&lt;&gt;0), $N$5 * ($P$22 ^ V531 - 1), 0)</f>
        <v>#N/A</v>
      </c>
      <c r="V531" s="71" t="e">
        <f aca="false">IF(B531&lt;EDATE($K$11,12), 0,  DATEDIF(EDATE($K$11,12), B531 + 1, "y") + 1 )</f>
        <v>#VALUE!</v>
      </c>
    </row>
    <row r="532" customFormat="false" ht="12.75" hidden="false" customHeight="true" outlineLevel="0" collapsed="false">
      <c r="A532" s="228" t="e">
        <f aca="false">IF(OR(G531="",G531&lt;=0,C531&gt;150),NA(),A531+1)</f>
        <v>#N/A</v>
      </c>
      <c r="B532" s="229" t="str">
        <f aca="false">IF(ISERROR(A532),"",IF($D$9="Annually",EDATE(B531,12),EDATE(B531,1)))</f>
        <v/>
      </c>
      <c r="C532" s="230" t="str">
        <f aca="false">IF(ISERROR(A532),"",C531+IF($D$9="Monthly",1/12,1))</f>
        <v/>
      </c>
      <c r="D532" s="231" t="n">
        <f aca="false">IF(L531&lt;&gt;1, IF(G531&lt;E531,0,D531),IF(L531=1,IFERROR(ROUND(IF($G531 - (E531 * 6) &lt; 0, D531, ($G531 - (E531 * 6)) * $D$8 / 12),2),0) ) )</f>
        <v>0</v>
      </c>
      <c r="E532" s="231" t="n">
        <f aca="false">IF(ISERROR(A532), 0,  MAX(0,   MIN(    ROUND(G531 + D532, 2),    ROUND(FV($S$5, IF(type=1, A532, A531), , IF(J532&lt;&gt;1, -$D$20, -$P$16 + P532), 2), 0)   )  ) )</f>
        <v>0</v>
      </c>
      <c r="F532" s="231" t="n">
        <f aca="false">IF(J532&lt;&gt;1, "", IF(J531&lt;&gt;0, F531, $K$12))</f>
        <v>1</v>
      </c>
      <c r="G532" s="232" t="str">
        <f aca="false">IF(ISERROR(A532),"",ROUND(G531-E532+D532,2))</f>
        <v/>
      </c>
      <c r="H532" s="237" t="str">
        <f aca="false">IF(G532&gt;0,IFERROR(H531+(H531*($D$16/12)),""),"")</f>
        <v/>
      </c>
      <c r="I532" s="223" t="str">
        <f aca="false">IF(ISERROR(A533),"",12 - MONTH(B532))</f>
        <v/>
      </c>
      <c r="J532" s="224" t="n">
        <f aca="false">K532</f>
        <v>1</v>
      </c>
      <c r="K532" s="225" t="n">
        <f aca="false">_xlfn.IFNA(IF(B532&gt;=$K$11, 1,0),0)</f>
        <v>1</v>
      </c>
      <c r="L532" s="60" t="str">
        <f aca="false">IF(I532=0,1,"")</f>
        <v/>
      </c>
      <c r="P532" s="4" t="e">
        <f aca="false">IF(AND(G532&gt;E532, A532&lt;&gt;"0.00", V532&lt;&gt;0), $N$5 * ($P$22 ^ V532 - 1), 0)</f>
        <v>#N/A</v>
      </c>
      <c r="V532" s="71" t="e">
        <f aca="false">IF(B532&lt;EDATE($K$11,12), 0,  DATEDIF(EDATE($K$11,12), B532 + 1, "y") + 1 )</f>
        <v>#VALUE!</v>
      </c>
    </row>
    <row r="533" customFormat="false" ht="12.75" hidden="false" customHeight="true" outlineLevel="0" collapsed="false">
      <c r="A533" s="228" t="e">
        <f aca="false">IF(OR(G532="",G532&lt;=0,C532&gt;150),NA(),A532+1)</f>
        <v>#N/A</v>
      </c>
      <c r="B533" s="229" t="str">
        <f aca="false">IF(ISERROR(A533),"",IF($D$9="Annually",EDATE(B532,12),EDATE(B532,1)))</f>
        <v/>
      </c>
      <c r="C533" s="230" t="str">
        <f aca="false">IF(ISERROR(A533),"",C532+IF($D$9="Monthly",1/12,1))</f>
        <v/>
      </c>
      <c r="D533" s="231" t="n">
        <f aca="false">IF(L532&lt;&gt;1, IF(G532&lt;E532,0,D532),IF(L532=1,IFERROR(ROUND(IF($G532 - (E532 * 6) &lt; 0, D532, ($G532 - (E532 * 6)) * $D$8 / 12),2),0) ) )</f>
        <v>0</v>
      </c>
      <c r="E533" s="231" t="n">
        <f aca="false">IF(ISERROR(A533), 0,  MAX(0,   MIN(    ROUND(G532 + D533, 2),    ROUND(FV($S$5, IF(type=1, A533, A532), , IF(J533&lt;&gt;1, -$D$20, -$P$16 + P533), 2), 0)   )  ) )</f>
        <v>0</v>
      </c>
      <c r="F533" s="231" t="n">
        <f aca="false">IF(J533&lt;&gt;1, "", IF(J532&lt;&gt;0, F532, $K$12))</f>
        <v>1</v>
      </c>
      <c r="G533" s="232" t="str">
        <f aca="false">IF(ISERROR(A533),"",ROUND(G532-E533+D533,2))</f>
        <v/>
      </c>
      <c r="H533" s="237" t="str">
        <f aca="false">IF(G533&gt;0,IFERROR(H532+(H532*($D$16/12)),""),"")</f>
        <v/>
      </c>
      <c r="I533" s="223" t="str">
        <f aca="false">IF(ISERROR(A534),"",12 - MONTH(B533))</f>
        <v/>
      </c>
      <c r="J533" s="224" t="n">
        <f aca="false">K533</f>
        <v>1</v>
      </c>
      <c r="K533" s="225" t="n">
        <f aca="false">_xlfn.IFNA(IF(B533&gt;=$K$11, 1,0),0)</f>
        <v>1</v>
      </c>
      <c r="L533" s="60" t="str">
        <f aca="false">IF(I533=0,1,"")</f>
        <v/>
      </c>
      <c r="P533" s="4" t="e">
        <f aca="false">IF(AND(G533&gt;E533, A533&lt;&gt;"0.00", V533&lt;&gt;0), $N$5 * ($P$22 ^ V533 - 1), 0)</f>
        <v>#N/A</v>
      </c>
      <c r="V533" s="71" t="e">
        <f aca="false">IF(B533&lt;EDATE($K$11,12), 0,  DATEDIF(EDATE($K$11,12), B533 + 1, "y") + 1 )</f>
        <v>#VALUE!</v>
      </c>
    </row>
    <row r="534" customFormat="false" ht="12.75" hidden="false" customHeight="true" outlineLevel="0" collapsed="false">
      <c r="A534" s="228" t="e">
        <f aca="false">IF(OR(G533="",G533&lt;=0,C533&gt;150),NA(),A533+1)</f>
        <v>#N/A</v>
      </c>
      <c r="B534" s="229" t="str">
        <f aca="false">IF(ISERROR(A534),"",IF($D$9="Annually",EDATE(B533,12),EDATE(B533,1)))</f>
        <v/>
      </c>
      <c r="C534" s="230" t="str">
        <f aca="false">IF(ISERROR(A534),"",C533+IF($D$9="Monthly",1/12,1))</f>
        <v/>
      </c>
      <c r="D534" s="231" t="n">
        <f aca="false">IF(L533&lt;&gt;1, IF(G533&lt;E533,0,D533),IF(L533=1,IFERROR(ROUND(IF($G533 - (E533 * 6) &lt; 0, D533, ($G533 - (E533 * 6)) * $D$8 / 12),2),0) ) )</f>
        <v>0</v>
      </c>
      <c r="E534" s="231" t="n">
        <f aca="false">IF(ISERROR(A534), 0,  MAX(0,   MIN(    ROUND(G533 + D534, 2),    ROUND(FV($S$5, IF(type=1, A534, A533), , IF(J534&lt;&gt;1, -$D$20, -$P$16 + P534), 2), 0)   )  ) )</f>
        <v>0</v>
      </c>
      <c r="F534" s="231" t="n">
        <f aca="false">IF(J534&lt;&gt;1, "", IF(J533&lt;&gt;0, F533, $K$12))</f>
        <v>1</v>
      </c>
      <c r="G534" s="232" t="str">
        <f aca="false">IF(ISERROR(A534),"",ROUND(G533-E534+D534,2))</f>
        <v/>
      </c>
      <c r="H534" s="237" t="str">
        <f aca="false">IF(G534&gt;0,IFERROR(H533+(H533*($D$16/12)),""),"")</f>
        <v/>
      </c>
      <c r="I534" s="223" t="str">
        <f aca="false">IF(ISERROR(A535),"",12 - MONTH(B534))</f>
        <v/>
      </c>
      <c r="J534" s="224" t="n">
        <f aca="false">K534</f>
        <v>1</v>
      </c>
      <c r="K534" s="225" t="n">
        <f aca="false">_xlfn.IFNA(IF(B534&gt;=$K$11, 1,0),0)</f>
        <v>1</v>
      </c>
      <c r="L534" s="60" t="str">
        <f aca="false">IF(I534=0,1,"")</f>
        <v/>
      </c>
      <c r="P534" s="4" t="e">
        <f aca="false">IF(AND(G534&gt;E534, A534&lt;&gt;"0.00", V534&lt;&gt;0), $N$5 * ($P$22 ^ V534 - 1), 0)</f>
        <v>#N/A</v>
      </c>
      <c r="V534" s="71" t="e">
        <f aca="false">IF(B534&lt;EDATE($K$11,12), 0,  DATEDIF(EDATE($K$11,12), B534 + 1, "y") + 1 )</f>
        <v>#VALUE!</v>
      </c>
    </row>
    <row r="535" customFormat="false" ht="12.75" hidden="false" customHeight="true" outlineLevel="0" collapsed="false">
      <c r="A535" s="228" t="e">
        <f aca="false">IF(OR(G534="",G534&lt;=0,C534&gt;150),NA(),A534+1)</f>
        <v>#N/A</v>
      </c>
      <c r="B535" s="229" t="str">
        <f aca="false">IF(ISERROR(A535),"",IF($D$9="Annually",EDATE(B534,12),EDATE(B534,1)))</f>
        <v/>
      </c>
      <c r="C535" s="230" t="str">
        <f aca="false">IF(ISERROR(A535),"",C534+IF($D$9="Monthly",1/12,1))</f>
        <v/>
      </c>
      <c r="D535" s="231" t="n">
        <f aca="false">IF(L534&lt;&gt;1, IF(G534&lt;E534,0,D534),IF(L534=1,IFERROR(ROUND(IF($G534 - (E534 * 6) &lt; 0, D534, ($G534 - (E534 * 6)) * $D$8 / 12),2),0) ) )</f>
        <v>0</v>
      </c>
      <c r="E535" s="231" t="n">
        <f aca="false">IF(ISERROR(A535), 0,  MAX(0,   MIN(    ROUND(G534 + D535, 2),    ROUND(FV($S$5, IF(type=1, A535, A534), , IF(J535&lt;&gt;1, -$D$20, -$P$16 + P535), 2), 0)   )  ) )</f>
        <v>0</v>
      </c>
      <c r="F535" s="231" t="n">
        <f aca="false">IF(J535&lt;&gt;1, "", IF(J534&lt;&gt;0, F534, $K$12))</f>
        <v>1</v>
      </c>
      <c r="G535" s="232" t="str">
        <f aca="false">IF(ISERROR(A535),"",ROUND(G534-E535+D535,2))</f>
        <v/>
      </c>
      <c r="H535" s="237" t="str">
        <f aca="false">IF(G535&gt;0,IFERROR(H534+(H534*($D$16/12)),""),"")</f>
        <v/>
      </c>
      <c r="I535" s="223" t="str">
        <f aca="false">IF(ISERROR(A536),"",12 - MONTH(B535))</f>
        <v/>
      </c>
      <c r="J535" s="224" t="n">
        <f aca="false">K535</f>
        <v>1</v>
      </c>
      <c r="K535" s="225" t="n">
        <f aca="false">_xlfn.IFNA(IF(B535&gt;=$K$11, 1,0),0)</f>
        <v>1</v>
      </c>
      <c r="L535" s="60" t="str">
        <f aca="false">IF(I535=0,1,"")</f>
        <v/>
      </c>
      <c r="P535" s="4" t="e">
        <f aca="false">IF(AND(G535&gt;E535, A535&lt;&gt;"0.00", V535&lt;&gt;0), $N$5 * ($P$22 ^ V535 - 1), 0)</f>
        <v>#N/A</v>
      </c>
      <c r="V535" s="71" t="e">
        <f aca="false">IF(B535&lt;EDATE($K$11,12), 0,  DATEDIF(EDATE($K$11,12), B535 + 1, "y") + 1 )</f>
        <v>#VALUE!</v>
      </c>
    </row>
    <row r="536" customFormat="false" ht="12.75" hidden="false" customHeight="true" outlineLevel="0" collapsed="false">
      <c r="A536" s="228" t="e">
        <f aca="false">IF(OR(G535="",G535&lt;=0,C535&gt;150),NA(),A535+1)</f>
        <v>#N/A</v>
      </c>
      <c r="B536" s="229" t="str">
        <f aca="false">IF(ISERROR(A536),"",IF($D$9="Annually",EDATE(B535,12),EDATE(B535,1)))</f>
        <v/>
      </c>
      <c r="C536" s="230" t="str">
        <f aca="false">IF(ISERROR(A536),"",C535+IF($D$9="Monthly",1/12,1))</f>
        <v/>
      </c>
      <c r="D536" s="231" t="n">
        <f aca="false">IF(L535&lt;&gt;1, IF(G535&lt;E535,0,D535),IF(L535=1,IFERROR(ROUND(IF($G535 - (E535 * 6) &lt; 0, D535, ($G535 - (E535 * 6)) * $D$8 / 12),2),0) ) )</f>
        <v>0</v>
      </c>
      <c r="E536" s="231" t="n">
        <f aca="false">IF(ISERROR(A536), 0,  MAX(0,   MIN(    ROUND(G535 + D536, 2),    ROUND(FV($S$5, IF(type=1, A536, A535), , IF(J536&lt;&gt;1, -$D$20, -$P$16 + P536), 2), 0)   )  ) )</f>
        <v>0</v>
      </c>
      <c r="F536" s="231" t="n">
        <f aca="false">IF(J536&lt;&gt;1, "", IF(J535&lt;&gt;0, F535, $K$12))</f>
        <v>1</v>
      </c>
      <c r="G536" s="232" t="str">
        <f aca="false">IF(ISERROR(A536),"",ROUND(G535-E536+D536,2))</f>
        <v/>
      </c>
      <c r="H536" s="237" t="str">
        <f aca="false">IF(G536&gt;0,IFERROR(H535+(H535*($D$16/12)),""),"")</f>
        <v/>
      </c>
      <c r="I536" s="223" t="str">
        <f aca="false">IF(ISERROR(A537),"",12 - MONTH(B536))</f>
        <v/>
      </c>
      <c r="J536" s="224" t="n">
        <f aca="false">K536</f>
        <v>1</v>
      </c>
      <c r="K536" s="225" t="n">
        <f aca="false">_xlfn.IFNA(IF(B536&gt;=$K$11, 1,0),0)</f>
        <v>1</v>
      </c>
      <c r="L536" s="60" t="str">
        <f aca="false">IF(I536=0,1,"")</f>
        <v/>
      </c>
      <c r="P536" s="4" t="e">
        <f aca="false">IF(AND(G536&gt;E536, A536&lt;&gt;"0.00", V536&lt;&gt;0), $N$5 * ($P$22 ^ V536 - 1), 0)</f>
        <v>#N/A</v>
      </c>
      <c r="V536" s="71" t="e">
        <f aca="false">IF(B536&lt;EDATE($K$11,12), 0,  DATEDIF(EDATE($K$11,12), B536 + 1, "y") + 1 )</f>
        <v>#VALUE!</v>
      </c>
    </row>
    <row r="537" customFormat="false" ht="12.75" hidden="false" customHeight="true" outlineLevel="0" collapsed="false">
      <c r="A537" s="228" t="e">
        <f aca="false">IF(OR(G536="",G536&lt;=0,C536&gt;150),NA(),A536+1)</f>
        <v>#N/A</v>
      </c>
      <c r="B537" s="229" t="str">
        <f aca="false">IF(ISERROR(A537),"",IF($D$9="Annually",EDATE(B536,12),EDATE(B536,1)))</f>
        <v/>
      </c>
      <c r="C537" s="230" t="str">
        <f aca="false">IF(ISERROR(A537),"",C536+IF($D$9="Monthly",1/12,1))</f>
        <v/>
      </c>
      <c r="D537" s="231" t="n">
        <f aca="false">IF(L536&lt;&gt;1, IF(G536&lt;E536,0,D536),IF(L536=1,IFERROR(ROUND(IF($G536 - (E536 * 6) &lt; 0, D536, ($G536 - (E536 * 6)) * $D$8 / 12),2),0) ) )</f>
        <v>0</v>
      </c>
      <c r="E537" s="231" t="n">
        <f aca="false">IF(ISERROR(A537), 0,  MAX(0,   MIN(    ROUND(G536 + D537, 2),    ROUND(FV($S$5, IF(type=1, A537, A536), , IF(J537&lt;&gt;1, -$D$20, -$P$16 + P537), 2), 0)   )  ) )</f>
        <v>0</v>
      </c>
      <c r="F537" s="231" t="n">
        <f aca="false">IF(J537&lt;&gt;1, "", IF(J536&lt;&gt;0, F536, $K$12))</f>
        <v>1</v>
      </c>
      <c r="G537" s="232" t="str">
        <f aca="false">IF(ISERROR(A537),"",ROUND(G536-E537+D537,2))</f>
        <v/>
      </c>
      <c r="H537" s="237" t="str">
        <f aca="false">IF(G537&gt;0,IFERROR(H536+(H536*($D$16/12)),""),"")</f>
        <v/>
      </c>
      <c r="I537" s="223" t="str">
        <f aca="false">IF(ISERROR(A538),"",12 - MONTH(B537))</f>
        <v/>
      </c>
      <c r="J537" s="224" t="n">
        <f aca="false">K537</f>
        <v>1</v>
      </c>
      <c r="K537" s="225" t="n">
        <f aca="false">_xlfn.IFNA(IF(B537&gt;=$K$11, 1,0),0)</f>
        <v>1</v>
      </c>
      <c r="L537" s="60" t="str">
        <f aca="false">IF(I537=0,1,"")</f>
        <v/>
      </c>
      <c r="P537" s="4" t="e">
        <f aca="false">IF(AND(G537&gt;E537, A537&lt;&gt;"0.00", V537&lt;&gt;0), $N$5 * ($P$22 ^ V537 - 1), 0)</f>
        <v>#N/A</v>
      </c>
      <c r="V537" s="71" t="e">
        <f aca="false">IF(B537&lt;EDATE($K$11,12), 0,  DATEDIF(EDATE($K$11,12), B537 + 1, "y") + 1 )</f>
        <v>#VALUE!</v>
      </c>
    </row>
    <row r="538" customFormat="false" ht="12.75" hidden="false" customHeight="true" outlineLevel="0" collapsed="false">
      <c r="A538" s="228" t="e">
        <f aca="false">IF(OR(G537="",G537&lt;=0,C537&gt;150),NA(),A537+1)</f>
        <v>#N/A</v>
      </c>
      <c r="B538" s="229" t="str">
        <f aca="false">IF(ISERROR(A538),"",IF($D$9="Annually",EDATE(B537,12),EDATE(B537,1)))</f>
        <v/>
      </c>
      <c r="C538" s="230" t="str">
        <f aca="false">IF(ISERROR(A538),"",C537+IF($D$9="Monthly",1/12,1))</f>
        <v/>
      </c>
      <c r="D538" s="231" t="n">
        <f aca="false">IF(L537&lt;&gt;1, IF(G537&lt;E537,0,D537),IF(L537=1,IFERROR(ROUND(IF($G537 - (E537 * 6) &lt; 0, D537, ($G537 - (E537 * 6)) * $D$8 / 12),2),0) ) )</f>
        <v>0</v>
      </c>
      <c r="E538" s="231" t="n">
        <f aca="false">IF(ISERROR(A538), 0,  MAX(0,   MIN(    ROUND(G537 + D538, 2),    ROUND(FV($S$5, IF(type=1, A538, A537), , IF(J538&lt;&gt;1, -$D$20, -$P$16 + P538), 2), 0)   )  ) )</f>
        <v>0</v>
      </c>
      <c r="F538" s="231" t="n">
        <f aca="false">IF(J538&lt;&gt;1, "", IF(J537&lt;&gt;0, F537, $K$12))</f>
        <v>1</v>
      </c>
      <c r="G538" s="232" t="str">
        <f aca="false">IF(ISERROR(A538),"",ROUND(G537-E538+D538,2))</f>
        <v/>
      </c>
      <c r="H538" s="237" t="str">
        <f aca="false">IF(G538&gt;0,IFERROR(H537+(H537*($D$16/12)),""),"")</f>
        <v/>
      </c>
      <c r="I538" s="223" t="str">
        <f aca="false">IF(ISERROR(A539),"",12 - MONTH(B538))</f>
        <v/>
      </c>
      <c r="J538" s="224" t="n">
        <f aca="false">K538</f>
        <v>1</v>
      </c>
      <c r="K538" s="225" t="n">
        <f aca="false">_xlfn.IFNA(IF(B538&gt;=$K$11, 1,0),0)</f>
        <v>1</v>
      </c>
      <c r="L538" s="60" t="str">
        <f aca="false">IF(I538=0,1,"")</f>
        <v/>
      </c>
      <c r="P538" s="4" t="e">
        <f aca="false">IF(AND(G538&gt;E538, A538&lt;&gt;"0.00", V538&lt;&gt;0), $N$5 * ($P$22 ^ V538 - 1), 0)</f>
        <v>#N/A</v>
      </c>
      <c r="V538" s="71" t="e">
        <f aca="false">IF(B538&lt;EDATE($K$11,12), 0,  DATEDIF(EDATE($K$11,12), B538 + 1, "y") + 1 )</f>
        <v>#VALUE!</v>
      </c>
    </row>
    <row r="539" customFormat="false" ht="12.75" hidden="false" customHeight="true" outlineLevel="0" collapsed="false">
      <c r="A539" s="228" t="e">
        <f aca="false">IF(OR(G538="",G538&lt;=0,C538&gt;150),NA(),A538+1)</f>
        <v>#N/A</v>
      </c>
      <c r="B539" s="229" t="str">
        <f aca="false">IF(ISERROR(A539),"",IF($D$9="Annually",EDATE(B538,12),EDATE(B538,1)))</f>
        <v/>
      </c>
      <c r="C539" s="230" t="str">
        <f aca="false">IF(ISERROR(A539),"",C538+IF($D$9="Monthly",1/12,1))</f>
        <v/>
      </c>
      <c r="D539" s="231" t="n">
        <f aca="false">IF(L538&lt;&gt;1, IF(G538&lt;E538,0,D538),IF(L538=1,IFERROR(ROUND(IF($G538 - (E538 * 6) &lt; 0, D538, ($G538 - (E538 * 6)) * $D$8 / 12),2),0) ) )</f>
        <v>0</v>
      </c>
      <c r="E539" s="231" t="n">
        <f aca="false">IF(ISERROR(A539), 0,  MAX(0,   MIN(    ROUND(G538 + D539, 2),    ROUND(FV($S$5, IF(type=1, A539, A538), , IF(J539&lt;&gt;1, -$D$20, -$P$16 + P539), 2), 0)   )  ) )</f>
        <v>0</v>
      </c>
      <c r="F539" s="231" t="n">
        <f aca="false">IF(J539&lt;&gt;1, "", IF(J538&lt;&gt;0, F538, $K$12))</f>
        <v>1</v>
      </c>
      <c r="G539" s="232" t="str">
        <f aca="false">IF(ISERROR(A539),"",ROUND(G538-E539+D539,2))</f>
        <v/>
      </c>
      <c r="H539" s="237" t="str">
        <f aca="false">IF(G539&gt;0,IFERROR(H538+(H538*($D$16/12)),""),"")</f>
        <v/>
      </c>
      <c r="I539" s="223" t="str">
        <f aca="false">IF(ISERROR(A540),"",12 - MONTH(B539))</f>
        <v/>
      </c>
      <c r="J539" s="224" t="n">
        <f aca="false">K539</f>
        <v>1</v>
      </c>
      <c r="K539" s="225" t="n">
        <f aca="false">_xlfn.IFNA(IF(B539&gt;=$K$11, 1,0),0)</f>
        <v>1</v>
      </c>
      <c r="L539" s="60" t="str">
        <f aca="false">IF(I539=0,1,"")</f>
        <v/>
      </c>
      <c r="P539" s="4" t="e">
        <f aca="false">IF(AND(G539&gt;E539, A539&lt;&gt;"0.00", V539&lt;&gt;0), $N$5 * ($P$22 ^ V539 - 1), 0)</f>
        <v>#N/A</v>
      </c>
      <c r="V539" s="71" t="e">
        <f aca="false">IF(B539&lt;EDATE($K$11,12), 0,  DATEDIF(EDATE($K$11,12), B539 + 1, "y") + 1 )</f>
        <v>#VALUE!</v>
      </c>
    </row>
    <row r="540" customFormat="false" ht="12.75" hidden="false" customHeight="true" outlineLevel="0" collapsed="false">
      <c r="A540" s="228" t="e">
        <f aca="false">IF(OR(G539="",G539&lt;=0,C539&gt;150),NA(),A539+1)</f>
        <v>#N/A</v>
      </c>
      <c r="B540" s="229" t="str">
        <f aca="false">IF(ISERROR(A540),"",IF($D$9="Annually",EDATE(B539,12),EDATE(B539,1)))</f>
        <v/>
      </c>
      <c r="C540" s="230" t="str">
        <f aca="false">IF(ISERROR(A540),"",C539+IF($D$9="Monthly",1/12,1))</f>
        <v/>
      </c>
      <c r="D540" s="231" t="n">
        <f aca="false">IF(L539&lt;&gt;1, IF(G539&lt;E539,0,D539),IF(L539=1,IFERROR(ROUND(IF($G539 - (E539 * 6) &lt; 0, D539, ($G539 - (E539 * 6)) * $D$8 / 12),2),0) ) )</f>
        <v>0</v>
      </c>
      <c r="E540" s="231" t="n">
        <f aca="false">IF(ISERROR(A540), 0,  MAX(0,   MIN(    ROUND(G539 + D540, 2),    ROUND(FV($S$5, IF(type=1, A540, A539), , IF(J540&lt;&gt;1, -$D$20, -$P$16 + P540), 2), 0)   )  ) )</f>
        <v>0</v>
      </c>
      <c r="F540" s="231" t="n">
        <f aca="false">IF(J540&lt;&gt;1, "", IF(J539&lt;&gt;0, F539, $K$12))</f>
        <v>1</v>
      </c>
      <c r="G540" s="232" t="str">
        <f aca="false">IF(ISERROR(A540),"",ROUND(G539-E540+D540,2))</f>
        <v/>
      </c>
      <c r="H540" s="237" t="str">
        <f aca="false">IF(G540&gt;0,IFERROR(H539+(H539*($D$16/12)),""),"")</f>
        <v/>
      </c>
      <c r="I540" s="223" t="str">
        <f aca="false">IF(ISERROR(A541),"",12 - MONTH(B540))</f>
        <v/>
      </c>
      <c r="J540" s="224" t="n">
        <f aca="false">K540</f>
        <v>1</v>
      </c>
      <c r="K540" s="225" t="n">
        <f aca="false">_xlfn.IFNA(IF(B540&gt;=$K$11, 1,0),0)</f>
        <v>1</v>
      </c>
      <c r="L540" s="60" t="str">
        <f aca="false">IF(I540=0,1,"")</f>
        <v/>
      </c>
      <c r="P540" s="4" t="e">
        <f aca="false">IF(AND(G540&gt;E540, A540&lt;&gt;"0.00", V540&lt;&gt;0), $N$5 * ($P$22 ^ V540 - 1), 0)</f>
        <v>#N/A</v>
      </c>
      <c r="V540" s="71" t="e">
        <f aca="false">IF(B540&lt;EDATE($K$11,12), 0,  DATEDIF(EDATE($K$11,12), B540 + 1, "y") + 1 )</f>
        <v>#VALUE!</v>
      </c>
    </row>
    <row r="541" customFormat="false" ht="12.75" hidden="false" customHeight="true" outlineLevel="0" collapsed="false">
      <c r="A541" s="228" t="e">
        <f aca="false">IF(OR(G540="",G540&lt;=0,C540&gt;150),NA(),A540+1)</f>
        <v>#N/A</v>
      </c>
      <c r="B541" s="229" t="str">
        <f aca="false">IF(ISERROR(A541),"",IF($D$9="Annually",EDATE(B540,12),EDATE(B540,1)))</f>
        <v/>
      </c>
      <c r="C541" s="230" t="str">
        <f aca="false">IF(ISERROR(A541),"",C540+IF($D$9="Monthly",1/12,1))</f>
        <v/>
      </c>
      <c r="D541" s="231" t="n">
        <f aca="false">IF(L540&lt;&gt;1, IF(G540&lt;E540,0,D540),IF(L540=1,IFERROR(ROUND(IF($G540 - (E540 * 6) &lt; 0, D540, ($G540 - (E540 * 6)) * $D$8 / 12),2),0) ) )</f>
        <v>0</v>
      </c>
      <c r="E541" s="231" t="n">
        <f aca="false">IF(ISERROR(A541), 0,  MAX(0,   MIN(    ROUND(G540 + D541, 2),    ROUND(FV($S$5, IF(type=1, A541, A540), , IF(J541&lt;&gt;1, -$D$20, -$P$16 + P541), 2), 0)   )  ) )</f>
        <v>0</v>
      </c>
      <c r="F541" s="231" t="n">
        <f aca="false">IF(J541&lt;&gt;1, "", IF(J540&lt;&gt;0, F540, $K$12))</f>
        <v>1</v>
      </c>
      <c r="G541" s="232" t="str">
        <f aca="false">IF(ISERROR(A541),"",ROUND(G540-E541+D541,2))</f>
        <v/>
      </c>
      <c r="H541" s="237" t="str">
        <f aca="false">IF(G541&gt;0,IFERROR(H540+(H540*($D$16/12)),""),"")</f>
        <v/>
      </c>
      <c r="I541" s="223" t="str">
        <f aca="false">IF(ISERROR(A542),"",12 - MONTH(B541))</f>
        <v/>
      </c>
      <c r="J541" s="224" t="n">
        <f aca="false">K541</f>
        <v>1</v>
      </c>
      <c r="K541" s="225" t="n">
        <f aca="false">_xlfn.IFNA(IF(B541&gt;=$K$11, 1,0),0)</f>
        <v>1</v>
      </c>
      <c r="L541" s="60" t="str">
        <f aca="false">IF(I541=0,1,"")</f>
        <v/>
      </c>
      <c r="P541" s="4" t="e">
        <f aca="false">IF(AND(G541&gt;E541, A541&lt;&gt;"0.00", V541&lt;&gt;0), $N$5 * ($P$22 ^ V541 - 1), 0)</f>
        <v>#N/A</v>
      </c>
      <c r="V541" s="71" t="e">
        <f aca="false">IF(B541&lt;EDATE($K$11,12), 0,  DATEDIF(EDATE($K$11,12), B541 + 1, "y") + 1 )</f>
        <v>#VALUE!</v>
      </c>
    </row>
    <row r="542" customFormat="false" ht="12.75" hidden="false" customHeight="true" outlineLevel="0" collapsed="false">
      <c r="A542" s="228" t="e">
        <f aca="false">IF(OR(G541="",G541&lt;=0,C541&gt;150),NA(),A541+1)</f>
        <v>#N/A</v>
      </c>
      <c r="B542" s="229" t="str">
        <f aca="false">IF(ISERROR(A542),"",IF($D$9="Annually",EDATE(B541,12),EDATE(B541,1)))</f>
        <v/>
      </c>
      <c r="C542" s="230" t="str">
        <f aca="false">IF(ISERROR(A542),"",C541+IF($D$9="Monthly",1/12,1))</f>
        <v/>
      </c>
      <c r="D542" s="231" t="n">
        <f aca="false">IF(L541&lt;&gt;1, IF(G541&lt;E541,0,D541),IF(L541=1,IFERROR(ROUND(IF($G541 - (E541 * 6) &lt; 0, D541, ($G541 - (E541 * 6)) * $D$8 / 12),2),0) ) )</f>
        <v>0</v>
      </c>
      <c r="E542" s="231" t="n">
        <f aca="false">IF(ISERROR(A542), 0,  MAX(0,   MIN(    ROUND(G541 + D542, 2),    ROUND(FV($S$5, IF(type=1, A542, A541), , IF(J542&lt;&gt;1, -$D$20, -$P$16 + P542), 2), 0)   )  ) )</f>
        <v>0</v>
      </c>
      <c r="F542" s="231" t="n">
        <f aca="false">IF(J542&lt;&gt;1, "", IF(J541&lt;&gt;0, F541, $K$12))</f>
        <v>1</v>
      </c>
      <c r="G542" s="232" t="str">
        <f aca="false">IF(ISERROR(A542),"",ROUND(G541-E542+D542,2))</f>
        <v/>
      </c>
      <c r="H542" s="237" t="str">
        <f aca="false">IF(G542&gt;0,IFERROR(H541+(H541*($D$16/12)),""),"")</f>
        <v/>
      </c>
      <c r="I542" s="223" t="str">
        <f aca="false">IF(ISERROR(A543),"",12 - MONTH(B542))</f>
        <v/>
      </c>
      <c r="J542" s="224" t="n">
        <f aca="false">K542</f>
        <v>1</v>
      </c>
      <c r="K542" s="225" t="n">
        <f aca="false">_xlfn.IFNA(IF(B542&gt;=$K$11, 1,0),0)</f>
        <v>1</v>
      </c>
      <c r="L542" s="60" t="str">
        <f aca="false">IF(I542=0,1,"")</f>
        <v/>
      </c>
      <c r="P542" s="4" t="e">
        <f aca="false">IF(AND(G542&gt;E542, A542&lt;&gt;"0.00", V542&lt;&gt;0), $N$5 * ($P$22 ^ V542 - 1), 0)</f>
        <v>#N/A</v>
      </c>
      <c r="V542" s="71" t="e">
        <f aca="false">IF(B542&lt;EDATE($K$11,12), 0,  DATEDIF(EDATE($K$11,12), B542 + 1, "y") + 1 )</f>
        <v>#VALUE!</v>
      </c>
    </row>
    <row r="543" customFormat="false" ht="12.75" hidden="false" customHeight="true" outlineLevel="0" collapsed="false">
      <c r="A543" s="228" t="e">
        <f aca="false">IF(OR(G542="",G542&lt;=0,C542&gt;150),NA(),A542+1)</f>
        <v>#N/A</v>
      </c>
      <c r="B543" s="229" t="str">
        <f aca="false">IF(ISERROR(A543),"",IF($D$9="Annually",EDATE(B542,12),EDATE(B542,1)))</f>
        <v/>
      </c>
      <c r="C543" s="230" t="str">
        <f aca="false">IF(ISERROR(A543),"",C542+IF($D$9="Monthly",1/12,1))</f>
        <v/>
      </c>
      <c r="D543" s="231" t="n">
        <f aca="false">IF(L542&lt;&gt;1, IF(G542&lt;E542,0,D542),IF(L542=1,IFERROR(ROUND(IF($G542 - (E542 * 6) &lt; 0, D542, ($G542 - (E542 * 6)) * $D$8 / 12),2),0) ) )</f>
        <v>0</v>
      </c>
      <c r="E543" s="231" t="n">
        <f aca="false">IF(ISERROR(A543), 0,  MAX(0,   MIN(    ROUND(G542 + D543, 2),    ROUND(FV($S$5, IF(type=1, A543, A542), , IF(J543&lt;&gt;1, -$D$20, -$P$16 + P543), 2), 0)   )  ) )</f>
        <v>0</v>
      </c>
      <c r="F543" s="231" t="n">
        <f aca="false">IF(J543&lt;&gt;1, "", IF(J542&lt;&gt;0, F542, $K$12))</f>
        <v>1</v>
      </c>
      <c r="G543" s="232" t="str">
        <f aca="false">IF(ISERROR(A543),"",ROUND(G542-E543+D543,2))</f>
        <v/>
      </c>
      <c r="H543" s="237" t="str">
        <f aca="false">IF(G543&gt;0,IFERROR(H542+(H542*($D$16/12)),""),"")</f>
        <v/>
      </c>
      <c r="I543" s="223" t="str">
        <f aca="false">IF(ISERROR(A544),"",12 - MONTH(B543))</f>
        <v/>
      </c>
      <c r="J543" s="224" t="n">
        <f aca="false">K543</f>
        <v>1</v>
      </c>
      <c r="K543" s="225" t="n">
        <f aca="false">_xlfn.IFNA(IF(B543&gt;=$K$11, 1,0),0)</f>
        <v>1</v>
      </c>
      <c r="L543" s="60" t="str">
        <f aca="false">IF(I543=0,1,"")</f>
        <v/>
      </c>
      <c r="P543" s="4" t="e">
        <f aca="false">IF(AND(G543&gt;E543, A543&lt;&gt;"0.00", V543&lt;&gt;0), $N$5 * ($P$22 ^ V543 - 1), 0)</f>
        <v>#N/A</v>
      </c>
      <c r="V543" s="71" t="e">
        <f aca="false">IF(B543&lt;EDATE($K$11,12), 0,  DATEDIF(EDATE($K$11,12), B543 + 1, "y") + 1 )</f>
        <v>#VALUE!</v>
      </c>
    </row>
    <row r="544" customFormat="false" ht="12.75" hidden="false" customHeight="true" outlineLevel="0" collapsed="false">
      <c r="A544" s="228" t="e">
        <f aca="false">IF(OR(G543="",G543&lt;=0,C543&gt;150),NA(),A543+1)</f>
        <v>#N/A</v>
      </c>
      <c r="B544" s="229" t="str">
        <f aca="false">IF(ISERROR(A544),"",IF($D$9="Annually",EDATE(B543,12),EDATE(B543,1)))</f>
        <v/>
      </c>
      <c r="C544" s="230" t="str">
        <f aca="false">IF(ISERROR(A544),"",C543+IF($D$9="Monthly",1/12,1))</f>
        <v/>
      </c>
      <c r="D544" s="231" t="n">
        <f aca="false">IF(L543&lt;&gt;1, IF(G543&lt;E543,0,D543),IF(L543=1,IFERROR(ROUND(IF($G543 - (E543 * 6) &lt; 0, D543, ($G543 - (E543 * 6)) * $D$8 / 12),2),0) ) )</f>
        <v>0</v>
      </c>
      <c r="E544" s="231" t="n">
        <f aca="false">IF(ISERROR(A544), 0,  MAX(0,   MIN(    ROUND(G543 + D544, 2),    ROUND(FV($S$5, IF(type=1, A544, A543), , IF(J544&lt;&gt;1, -$D$20, -$P$16 + P544), 2), 0)   )  ) )</f>
        <v>0</v>
      </c>
      <c r="F544" s="231" t="n">
        <f aca="false">IF(J544&lt;&gt;1, "", IF(J543&lt;&gt;0, F543, $K$12))</f>
        <v>1</v>
      </c>
      <c r="G544" s="232" t="str">
        <f aca="false">IF(ISERROR(A544),"",ROUND(G543-E544+D544,2))</f>
        <v/>
      </c>
      <c r="H544" s="237" t="str">
        <f aca="false">IF(G544&gt;0,IFERROR(H543+(H543*($D$16/12)),""),"")</f>
        <v/>
      </c>
      <c r="I544" s="223" t="str">
        <f aca="false">IF(ISERROR(A545),"",12 - MONTH(B544))</f>
        <v/>
      </c>
      <c r="J544" s="224" t="n">
        <f aca="false">K544</f>
        <v>1</v>
      </c>
      <c r="K544" s="225" t="n">
        <f aca="false">_xlfn.IFNA(IF(B544&gt;=$K$11, 1,0),0)</f>
        <v>1</v>
      </c>
      <c r="L544" s="60" t="str">
        <f aca="false">IF(I544=0,1,"")</f>
        <v/>
      </c>
      <c r="P544" s="4" t="e">
        <f aca="false">IF(AND(G544&gt;E544, A544&lt;&gt;"0.00", V544&lt;&gt;0), $N$5 * ($P$22 ^ V544 - 1), 0)</f>
        <v>#N/A</v>
      </c>
      <c r="V544" s="71" t="e">
        <f aca="false">IF(B544&lt;EDATE($K$11,12), 0,  DATEDIF(EDATE($K$11,12), B544 + 1, "y") + 1 )</f>
        <v>#VALUE!</v>
      </c>
    </row>
    <row r="545" customFormat="false" ht="12.75" hidden="false" customHeight="true" outlineLevel="0" collapsed="false">
      <c r="A545" s="228" t="e">
        <f aca="false">IF(OR(G544="",G544&lt;=0,C544&gt;150),NA(),A544+1)</f>
        <v>#N/A</v>
      </c>
      <c r="B545" s="229" t="str">
        <f aca="false">IF(ISERROR(A545),"",IF($D$9="Annually",EDATE(B544,12),EDATE(B544,1)))</f>
        <v/>
      </c>
      <c r="C545" s="230" t="str">
        <f aca="false">IF(ISERROR(A545),"",C544+IF($D$9="Monthly",1/12,1))</f>
        <v/>
      </c>
      <c r="D545" s="231" t="n">
        <f aca="false">IF(L544&lt;&gt;1, IF(G544&lt;E544,0,D544),IF(L544=1,IFERROR(ROUND(IF($G544 - (E544 * 6) &lt; 0, D544, ($G544 - (E544 * 6)) * $D$8 / 12),2),0) ) )</f>
        <v>0</v>
      </c>
      <c r="E545" s="231" t="n">
        <f aca="false">IF(ISERROR(A545), 0,  MAX(0,   MIN(    ROUND(G544 + D545, 2),    ROUND(FV($S$5, IF(type=1, A545, A544), , IF(J545&lt;&gt;1, -$D$20, -$P$16 + P545), 2), 0)   )  ) )</f>
        <v>0</v>
      </c>
      <c r="F545" s="231" t="n">
        <f aca="false">IF(J545&lt;&gt;1, "", IF(J544&lt;&gt;0, F544, $K$12))</f>
        <v>1</v>
      </c>
      <c r="G545" s="232" t="str">
        <f aca="false">IF(ISERROR(A545),"",ROUND(G544-E545+D545,2))</f>
        <v/>
      </c>
      <c r="H545" s="237" t="str">
        <f aca="false">IF(G545&gt;0,IFERROR(H544+(H544*($D$16/12)),""),"")</f>
        <v/>
      </c>
      <c r="I545" s="223" t="str">
        <f aca="false">IF(ISERROR(A546),"",12 - MONTH(B545))</f>
        <v/>
      </c>
      <c r="J545" s="224" t="n">
        <f aca="false">K545</f>
        <v>1</v>
      </c>
      <c r="K545" s="225" t="n">
        <f aca="false">_xlfn.IFNA(IF(B545&gt;=$K$11, 1,0),0)</f>
        <v>1</v>
      </c>
      <c r="L545" s="60" t="str">
        <f aca="false">IF(I545=0,1,"")</f>
        <v/>
      </c>
      <c r="P545" s="4" t="e">
        <f aca="false">IF(AND(G545&gt;E545, A545&lt;&gt;"0.00", V545&lt;&gt;0), $N$5 * ($P$22 ^ V545 - 1), 0)</f>
        <v>#N/A</v>
      </c>
      <c r="V545" s="71" t="e">
        <f aca="false">IF(B545&lt;EDATE($K$11,12), 0,  DATEDIF(EDATE($K$11,12), B545 + 1, "y") + 1 )</f>
        <v>#VALUE!</v>
      </c>
    </row>
    <row r="546" customFormat="false" ht="12.75" hidden="false" customHeight="true" outlineLevel="0" collapsed="false">
      <c r="A546" s="228" t="e">
        <f aca="false">IF(OR(G545="",G545&lt;=0,C545&gt;150),NA(),A545+1)</f>
        <v>#N/A</v>
      </c>
      <c r="B546" s="229" t="str">
        <f aca="false">IF(ISERROR(A546),"",IF($D$9="Annually",EDATE(B545,12),EDATE(B545,1)))</f>
        <v/>
      </c>
      <c r="C546" s="230" t="str">
        <f aca="false">IF(ISERROR(A546),"",C545+IF($D$9="Monthly",1/12,1))</f>
        <v/>
      </c>
      <c r="D546" s="231" t="n">
        <f aca="false">IF(L545&lt;&gt;1, IF(G545&lt;E545,0,D545),IF(L545=1,IFERROR(ROUND(IF($G545 - (E545 * 6) &lt; 0, D545, ($G545 - (E545 * 6)) * $D$8 / 12),2),0) ) )</f>
        <v>0</v>
      </c>
      <c r="E546" s="231" t="n">
        <f aca="false">IF(ISERROR(A546), 0,  MAX(0,   MIN(    ROUND(G545 + D546, 2),    ROUND(FV($S$5, IF(type=1, A546, A545), , IF(J546&lt;&gt;1, -$D$20, -$P$16 + P546), 2), 0)   )  ) )</f>
        <v>0</v>
      </c>
      <c r="F546" s="231" t="n">
        <f aca="false">IF(J546&lt;&gt;1, "", IF(J545&lt;&gt;0, F545, $K$12))</f>
        <v>1</v>
      </c>
      <c r="G546" s="232" t="str">
        <f aca="false">IF(ISERROR(A546),"",ROUND(G545-E546+D546,2))</f>
        <v/>
      </c>
      <c r="H546" s="237" t="str">
        <f aca="false">IF(G546&gt;0,IFERROR(H545+(H545*($D$16/12)),""),"")</f>
        <v/>
      </c>
      <c r="I546" s="223" t="str">
        <f aca="false">IF(ISERROR(A547),"",12 - MONTH(B546))</f>
        <v/>
      </c>
      <c r="J546" s="224" t="n">
        <f aca="false">K546</f>
        <v>1</v>
      </c>
      <c r="K546" s="225" t="n">
        <f aca="false">_xlfn.IFNA(IF(B546&gt;=$K$11, 1,0),0)</f>
        <v>1</v>
      </c>
      <c r="L546" s="60" t="str">
        <f aca="false">IF(I546=0,1,"")</f>
        <v/>
      </c>
      <c r="P546" s="4" t="e">
        <f aca="false">IF(AND(G546&gt;E546, A546&lt;&gt;"0.00", V546&lt;&gt;0), $N$5 * ($P$22 ^ V546 - 1), 0)</f>
        <v>#N/A</v>
      </c>
      <c r="V546" s="71" t="e">
        <f aca="false">IF(B546&lt;EDATE($K$11,12), 0,  DATEDIF(EDATE($K$11,12), B546 + 1, "y") + 1 )</f>
        <v>#VALUE!</v>
      </c>
    </row>
    <row r="547" customFormat="false" ht="12.75" hidden="false" customHeight="true" outlineLevel="0" collapsed="false">
      <c r="A547" s="228" t="e">
        <f aca="false">IF(OR(G546="",G546&lt;=0,C546&gt;150),NA(),A546+1)</f>
        <v>#N/A</v>
      </c>
      <c r="B547" s="229" t="str">
        <f aca="false">IF(ISERROR(A547),"",IF($D$9="Annually",EDATE(B546,12),EDATE(B546,1)))</f>
        <v/>
      </c>
      <c r="C547" s="230" t="str">
        <f aca="false">IF(ISERROR(A547),"",C546+IF($D$9="Monthly",1/12,1))</f>
        <v/>
      </c>
      <c r="D547" s="231" t="n">
        <f aca="false">IF(L546&lt;&gt;1, IF(G546&lt;E546,0,D546),IF(L546=1,IFERROR(ROUND(IF($G546 - (E546 * 6) &lt; 0, D546, ($G546 - (E546 * 6)) * $D$8 / 12),2),0) ) )</f>
        <v>0</v>
      </c>
      <c r="E547" s="231" t="n">
        <f aca="false">IF(ISERROR(A547), 0,  MAX(0,   MIN(    ROUND(G546 + D547, 2),    ROUND(FV($S$5, IF(type=1, A547, A546), , IF(J547&lt;&gt;1, -$D$20, -$P$16 + P547), 2), 0)   )  ) )</f>
        <v>0</v>
      </c>
      <c r="F547" s="231" t="n">
        <f aca="false">IF(J547&lt;&gt;1, "", IF(J546&lt;&gt;0, F546, $K$12))</f>
        <v>1</v>
      </c>
      <c r="G547" s="232" t="str">
        <f aca="false">IF(ISERROR(A547),"",ROUND(G546-E547+D547,2))</f>
        <v/>
      </c>
      <c r="H547" s="237" t="str">
        <f aca="false">IF(G547&gt;0,IFERROR(H546+(H546*($D$16/12)),""),"")</f>
        <v/>
      </c>
      <c r="I547" s="223" t="str">
        <f aca="false">IF(ISERROR(A548),"",12 - MONTH(B547))</f>
        <v/>
      </c>
      <c r="J547" s="224" t="n">
        <f aca="false">K547</f>
        <v>1</v>
      </c>
      <c r="K547" s="225" t="n">
        <f aca="false">_xlfn.IFNA(IF(B547&gt;=$K$11, 1,0),0)</f>
        <v>1</v>
      </c>
      <c r="L547" s="60" t="str">
        <f aca="false">IF(I547=0,1,"")</f>
        <v/>
      </c>
      <c r="P547" s="4" t="e">
        <f aca="false">IF(AND(G547&gt;E547, A547&lt;&gt;"0.00", V547&lt;&gt;0), $N$5 * ($P$22 ^ V547 - 1), 0)</f>
        <v>#N/A</v>
      </c>
      <c r="V547" s="71" t="e">
        <f aca="false">IF(B547&lt;EDATE($K$11,12), 0,  DATEDIF(EDATE($K$11,12), B547 + 1, "y") + 1 )</f>
        <v>#VALUE!</v>
      </c>
    </row>
    <row r="548" customFormat="false" ht="12.75" hidden="false" customHeight="true" outlineLevel="0" collapsed="false">
      <c r="A548" s="228" t="e">
        <f aca="false">IF(OR(G547="",G547&lt;=0,C547&gt;150),NA(),A547+1)</f>
        <v>#N/A</v>
      </c>
      <c r="B548" s="229" t="str">
        <f aca="false">IF(ISERROR(A548),"",IF($D$9="Annually",EDATE(B547,12),EDATE(B547,1)))</f>
        <v/>
      </c>
      <c r="C548" s="230" t="str">
        <f aca="false">IF(ISERROR(A548),"",C547+IF($D$9="Monthly",1/12,1))</f>
        <v/>
      </c>
      <c r="D548" s="231" t="n">
        <f aca="false">IF(L547&lt;&gt;1, IF(G547&lt;E547,0,D547),IF(L547=1,IFERROR(ROUND(IF($G547 - (E547 * 6) &lt; 0, D547, ($G547 - (E547 * 6)) * $D$8 / 12),2),0) ) )</f>
        <v>0</v>
      </c>
      <c r="E548" s="231" t="n">
        <f aca="false">IF(ISERROR(A548), 0,  MAX(0,   MIN(    ROUND(G547 + D548, 2),    ROUND(FV($S$5, IF(type=1, A548, A547), , IF(J548&lt;&gt;1, -$D$20, -$P$16 + P548), 2), 0)   )  ) )</f>
        <v>0</v>
      </c>
      <c r="F548" s="231" t="n">
        <f aca="false">IF(J548&lt;&gt;1, "", IF(J547&lt;&gt;0, F547, $K$12))</f>
        <v>1</v>
      </c>
      <c r="G548" s="232" t="str">
        <f aca="false">IF(ISERROR(A548),"",ROUND(G547-E548+D548,2))</f>
        <v/>
      </c>
      <c r="H548" s="237" t="str">
        <f aca="false">IF(G548&gt;0,IFERROR(H547+(H547*($D$16/12)),""),"")</f>
        <v/>
      </c>
      <c r="I548" s="223" t="str">
        <f aca="false">IF(ISERROR(A549),"",12 - MONTH(B548))</f>
        <v/>
      </c>
      <c r="J548" s="224" t="n">
        <f aca="false">K548</f>
        <v>1</v>
      </c>
      <c r="K548" s="225" t="n">
        <f aca="false">_xlfn.IFNA(IF(B548&gt;=$K$11, 1,0),0)</f>
        <v>1</v>
      </c>
      <c r="L548" s="60" t="str">
        <f aca="false">IF(I548=0,1,"")</f>
        <v/>
      </c>
      <c r="P548" s="4" t="e">
        <f aca="false">IF(AND(G548&gt;E548, A548&lt;&gt;"0.00", V548&lt;&gt;0), $N$5 * ($P$22 ^ V548 - 1), 0)</f>
        <v>#N/A</v>
      </c>
      <c r="V548" s="71" t="e">
        <f aca="false">IF(B548&lt;EDATE($K$11,12), 0,  DATEDIF(EDATE($K$11,12), B548 + 1, "y") + 1 )</f>
        <v>#VALUE!</v>
      </c>
    </row>
    <row r="549" customFormat="false" ht="12.75" hidden="false" customHeight="true" outlineLevel="0" collapsed="false">
      <c r="A549" s="228" t="e">
        <f aca="false">IF(OR(G548="",G548&lt;=0,C548&gt;150),NA(),A548+1)</f>
        <v>#N/A</v>
      </c>
      <c r="B549" s="229" t="str">
        <f aca="false">IF(ISERROR(A549),"",IF($D$9="Annually",EDATE(B548,12),EDATE(B548,1)))</f>
        <v/>
      </c>
      <c r="C549" s="230" t="str">
        <f aca="false">IF(ISERROR(A549),"",C548+IF($D$9="Monthly",1/12,1))</f>
        <v/>
      </c>
      <c r="D549" s="231" t="n">
        <f aca="false">IF(L548&lt;&gt;1, IF(G548&lt;E548,0,D548),IF(L548=1,IFERROR(ROUND(IF($G548 - (E548 * 6) &lt; 0, D548, ($G548 - (E548 * 6)) * $D$8 / 12),2),0) ) )</f>
        <v>0</v>
      </c>
      <c r="E549" s="231" t="n">
        <f aca="false">IF(ISERROR(A549), 0,  MAX(0,   MIN(    ROUND(G548 + D549, 2),    ROUND(FV($S$5, IF(type=1, A549, A548), , IF(J549&lt;&gt;1, -$D$20, -$P$16 + P549), 2), 0)   )  ) )</f>
        <v>0</v>
      </c>
      <c r="F549" s="231" t="n">
        <f aca="false">IF(J549&lt;&gt;1, "", IF(J548&lt;&gt;0, F548, $K$12))</f>
        <v>1</v>
      </c>
      <c r="G549" s="232" t="str">
        <f aca="false">IF(ISERROR(A549),"",ROUND(G548-E549+D549,2))</f>
        <v/>
      </c>
      <c r="H549" s="237" t="str">
        <f aca="false">IF(G549&gt;0,IFERROR(H548+(H548*($D$16/12)),""),"")</f>
        <v/>
      </c>
      <c r="I549" s="223" t="str">
        <f aca="false">IF(ISERROR(A550),"",12 - MONTH(B549))</f>
        <v/>
      </c>
      <c r="J549" s="224" t="n">
        <f aca="false">K549</f>
        <v>1</v>
      </c>
      <c r="K549" s="225" t="n">
        <f aca="false">_xlfn.IFNA(IF(B549&gt;=$K$11, 1,0),0)</f>
        <v>1</v>
      </c>
      <c r="L549" s="60" t="str">
        <f aca="false">IF(I549=0,1,"")</f>
        <v/>
      </c>
      <c r="P549" s="4" t="e">
        <f aca="false">IF(AND(G549&gt;E549, A549&lt;&gt;"0.00", V549&lt;&gt;0), $N$5 * ($P$22 ^ V549 - 1), 0)</f>
        <v>#N/A</v>
      </c>
      <c r="V549" s="71" t="e">
        <f aca="false">IF(B549&lt;EDATE($K$11,12), 0,  DATEDIF(EDATE($K$11,12), B549 + 1, "y") + 1 )</f>
        <v>#VALUE!</v>
      </c>
    </row>
    <row r="550" customFormat="false" ht="12.75" hidden="false" customHeight="true" outlineLevel="0" collapsed="false">
      <c r="A550" s="228" t="e">
        <f aca="false">IF(OR(G549="",G549&lt;=0,C549&gt;150),NA(),A549+1)</f>
        <v>#N/A</v>
      </c>
      <c r="B550" s="229" t="str">
        <f aca="false">IF(ISERROR(A550),"",IF($D$9="Annually",EDATE(B549,12),EDATE(B549,1)))</f>
        <v/>
      </c>
      <c r="C550" s="230" t="str">
        <f aca="false">IF(ISERROR(A550),"",C549+IF($D$9="Monthly",1/12,1))</f>
        <v/>
      </c>
      <c r="D550" s="231" t="n">
        <f aca="false">IF(L549&lt;&gt;1, IF(G549&lt;E549,0,D549),IF(L549=1,IFERROR(ROUND(IF($G549 - (E549 * 6) &lt; 0, D549, ($G549 - (E549 * 6)) * $D$8 / 12),2),0) ) )</f>
        <v>0</v>
      </c>
      <c r="E550" s="231" t="n">
        <f aca="false">IF(ISERROR(A550), 0,  MAX(0,   MIN(    ROUND(G549 + D550, 2),    ROUND(FV($S$5, IF(type=1, A550, A549), , IF(J550&lt;&gt;1, -$D$20, -$P$16 + P550), 2), 0)   )  ) )</f>
        <v>0</v>
      </c>
      <c r="F550" s="231" t="n">
        <f aca="false">IF(J550&lt;&gt;1, "", IF(J549&lt;&gt;0, F549, $K$12))</f>
        <v>1</v>
      </c>
      <c r="G550" s="232" t="str">
        <f aca="false">IF(ISERROR(A550),"",ROUND(G549-E550+D550,2))</f>
        <v/>
      </c>
      <c r="H550" s="237" t="str">
        <f aca="false">IF(G550&gt;0,IFERROR(H549+(H549*($D$16/12)),""),"")</f>
        <v/>
      </c>
      <c r="I550" s="223" t="str">
        <f aca="false">IF(ISERROR(A551),"",12 - MONTH(B550))</f>
        <v/>
      </c>
      <c r="J550" s="224" t="n">
        <f aca="false">K550</f>
        <v>1</v>
      </c>
      <c r="K550" s="225" t="n">
        <f aca="false">_xlfn.IFNA(IF(B550&gt;=$K$11, 1,0),0)</f>
        <v>1</v>
      </c>
      <c r="L550" s="60" t="str">
        <f aca="false">IF(I550=0,1,"")</f>
        <v/>
      </c>
      <c r="P550" s="4" t="e">
        <f aca="false">IF(AND(G550&gt;E550, A550&lt;&gt;"0.00", V550&lt;&gt;0), $N$5 * ($P$22 ^ V550 - 1), 0)</f>
        <v>#N/A</v>
      </c>
      <c r="V550" s="71" t="e">
        <f aca="false">IF(B550&lt;EDATE($K$11,12), 0,  DATEDIF(EDATE($K$11,12), B550 + 1, "y") + 1 )</f>
        <v>#VALUE!</v>
      </c>
    </row>
    <row r="551" customFormat="false" ht="12.75" hidden="false" customHeight="true" outlineLevel="0" collapsed="false">
      <c r="A551" s="228" t="e">
        <f aca="false">IF(OR(G550="",G550&lt;=0,C550&gt;150),NA(),A550+1)</f>
        <v>#N/A</v>
      </c>
      <c r="B551" s="229" t="str">
        <f aca="false">IF(ISERROR(A551),"",IF($D$9="Annually",EDATE(B550,12),EDATE(B550,1)))</f>
        <v/>
      </c>
      <c r="C551" s="230" t="str">
        <f aca="false">IF(ISERROR(A551),"",C550+IF($D$9="Monthly",1/12,1))</f>
        <v/>
      </c>
      <c r="D551" s="231" t="n">
        <f aca="false">IF(L550&lt;&gt;1, IF(G550&lt;E550,0,D550),IF(L550=1,IFERROR(ROUND(IF($G550 - (E550 * 6) &lt; 0, D550, ($G550 - (E550 * 6)) * $D$8 / 12),2),0) ) )</f>
        <v>0</v>
      </c>
      <c r="E551" s="231" t="n">
        <f aca="false">IF(ISERROR(A551), 0,  MAX(0,   MIN(    ROUND(G550 + D551, 2),    ROUND(FV($S$5, IF(type=1, A551, A550), , IF(J551&lt;&gt;1, -$D$20, -$P$16 + P551), 2), 0)   )  ) )</f>
        <v>0</v>
      </c>
      <c r="F551" s="231" t="n">
        <f aca="false">IF(J551&lt;&gt;1, "", IF(J550&lt;&gt;0, F550, $K$12))</f>
        <v>1</v>
      </c>
      <c r="G551" s="232" t="str">
        <f aca="false">IF(ISERROR(A551),"",ROUND(G550-E551+D551,2))</f>
        <v/>
      </c>
      <c r="H551" s="237" t="str">
        <f aca="false">IF(G551&gt;0,IFERROR(H550+(H550*($D$16/12)),""),"")</f>
        <v/>
      </c>
      <c r="I551" s="223" t="str">
        <f aca="false">IF(ISERROR(A552),"",12 - MONTH(B551))</f>
        <v/>
      </c>
      <c r="J551" s="224" t="n">
        <f aca="false">K551</f>
        <v>1</v>
      </c>
      <c r="K551" s="225" t="n">
        <f aca="false">_xlfn.IFNA(IF(B551&gt;=$K$11, 1,0),0)</f>
        <v>1</v>
      </c>
      <c r="L551" s="60" t="str">
        <f aca="false">IF(I551=0,1,"")</f>
        <v/>
      </c>
      <c r="P551" s="4" t="e">
        <f aca="false">IF(AND(G551&gt;E551, A551&lt;&gt;"0.00", V551&lt;&gt;0), $N$5 * ($P$22 ^ V551 - 1), 0)</f>
        <v>#N/A</v>
      </c>
      <c r="V551" s="71" t="e">
        <f aca="false">IF(B551&lt;EDATE($K$11,12), 0,  DATEDIF(EDATE($K$11,12), B551 + 1, "y") + 1 )</f>
        <v>#VALUE!</v>
      </c>
    </row>
    <row r="552" customFormat="false" ht="12.75" hidden="false" customHeight="true" outlineLevel="0" collapsed="false">
      <c r="A552" s="228" t="e">
        <f aca="false">IF(OR(G551="",G551&lt;=0,C551&gt;150),NA(),A551+1)</f>
        <v>#N/A</v>
      </c>
      <c r="B552" s="229" t="str">
        <f aca="false">IF(ISERROR(A552),"",IF($D$9="Annually",EDATE(B551,12),EDATE(B551,1)))</f>
        <v/>
      </c>
      <c r="C552" s="230" t="str">
        <f aca="false">IF(ISERROR(A552),"",C551+IF($D$9="Monthly",1/12,1))</f>
        <v/>
      </c>
      <c r="D552" s="231" t="n">
        <f aca="false">IF(L551&lt;&gt;1, IF(G551&lt;E551,0,D551),IF(L551=1,IFERROR(ROUND(IF($G551 - (E551 * 6) &lt; 0, D551, ($G551 - (E551 * 6)) * $D$8 / 12),2),0) ) )</f>
        <v>0</v>
      </c>
      <c r="E552" s="231" t="n">
        <f aca="false">IF(ISERROR(A552), 0,  MAX(0,   MIN(    ROUND(G551 + D552, 2),    ROUND(FV($S$5, IF(type=1, A552, A551), , IF(J552&lt;&gt;1, -$D$20, -$P$16 + P552), 2), 0)   )  ) )</f>
        <v>0</v>
      </c>
      <c r="F552" s="231" t="n">
        <f aca="false">IF(J552&lt;&gt;1, "", IF(J551&lt;&gt;0, F551, $K$12))</f>
        <v>1</v>
      </c>
      <c r="G552" s="232" t="str">
        <f aca="false">IF(ISERROR(A552),"",ROUND(G551-E552+D552,2))</f>
        <v/>
      </c>
      <c r="H552" s="237" t="str">
        <f aca="false">IF(G552&gt;0,IFERROR(H551+(H551*($D$16/12)),""),"")</f>
        <v/>
      </c>
      <c r="I552" s="223" t="str">
        <f aca="false">IF(ISERROR(A553),"",12 - MONTH(B552))</f>
        <v/>
      </c>
      <c r="J552" s="224" t="n">
        <f aca="false">K552</f>
        <v>1</v>
      </c>
      <c r="K552" s="225" t="n">
        <f aca="false">_xlfn.IFNA(IF(B552&gt;=$K$11, 1,0),0)</f>
        <v>1</v>
      </c>
      <c r="L552" s="60" t="str">
        <f aca="false">IF(I552=0,1,"")</f>
        <v/>
      </c>
      <c r="P552" s="4" t="e">
        <f aca="false">IF(AND(G552&gt;E552, A552&lt;&gt;"0.00", V552&lt;&gt;0), $N$5 * ($P$22 ^ V552 - 1), 0)</f>
        <v>#N/A</v>
      </c>
      <c r="V552" s="71" t="e">
        <f aca="false">IF(B552&lt;EDATE($K$11,12), 0,  DATEDIF(EDATE($K$11,12), B552 + 1, "y") + 1 )</f>
        <v>#VALUE!</v>
      </c>
    </row>
    <row r="553" customFormat="false" ht="12.75" hidden="false" customHeight="true" outlineLevel="0" collapsed="false">
      <c r="A553" s="228" t="e">
        <f aca="false">IF(OR(G552="",G552&lt;=0,C552&gt;150),NA(),A552+1)</f>
        <v>#N/A</v>
      </c>
      <c r="B553" s="229" t="str">
        <f aca="false">IF(ISERROR(A553),"",IF($D$9="Annually",EDATE(B552,12),EDATE(B552,1)))</f>
        <v/>
      </c>
      <c r="C553" s="230" t="str">
        <f aca="false">IF(ISERROR(A553),"",C552+IF($D$9="Monthly",1/12,1))</f>
        <v/>
      </c>
      <c r="D553" s="231" t="n">
        <f aca="false">IF(L552&lt;&gt;1, IF(G552&lt;E552,0,D552),IF(L552=1,IFERROR(ROUND(IF($G552 - (E552 * 6) &lt; 0, D552, ($G552 - (E552 * 6)) * $D$8 / 12),2),0) ) )</f>
        <v>0</v>
      </c>
      <c r="E553" s="231" t="n">
        <f aca="false">IF(ISERROR(A553), 0,  MAX(0,   MIN(    ROUND(G552 + D553, 2),    ROUND(FV($S$5, IF(type=1, A553, A552), , IF(J553&lt;&gt;1, -$D$20, -$P$16 + P553), 2), 0)   )  ) )</f>
        <v>0</v>
      </c>
      <c r="F553" s="231" t="n">
        <f aca="false">IF(J553&lt;&gt;1, "", IF(J552&lt;&gt;0, F552, $K$12))</f>
        <v>1</v>
      </c>
      <c r="G553" s="232" t="str">
        <f aca="false">IF(ISERROR(A553),"",ROUND(G552-E553+D553,2))</f>
        <v/>
      </c>
      <c r="H553" s="237" t="str">
        <f aca="false">IF(G553&gt;0,IFERROR(H552+(H552*($D$16/12)),""),"")</f>
        <v/>
      </c>
      <c r="I553" s="223" t="str">
        <f aca="false">IF(ISERROR(A554),"",12 - MONTH(B553))</f>
        <v/>
      </c>
      <c r="J553" s="224" t="n">
        <f aca="false">K553</f>
        <v>1</v>
      </c>
      <c r="K553" s="225" t="n">
        <f aca="false">_xlfn.IFNA(IF(B553&gt;=$K$11, 1,0),0)</f>
        <v>1</v>
      </c>
      <c r="L553" s="60" t="str">
        <f aca="false">IF(I553=0,1,"")</f>
        <v/>
      </c>
      <c r="P553" s="4" t="e">
        <f aca="false">IF(AND(G553&gt;E553, A553&lt;&gt;"0.00", V553&lt;&gt;0), $N$5 * ($P$22 ^ V553 - 1), 0)</f>
        <v>#N/A</v>
      </c>
      <c r="V553" s="71" t="e">
        <f aca="false">IF(B553&lt;EDATE($K$11,12), 0,  DATEDIF(EDATE($K$11,12), B553 + 1, "y") + 1 )</f>
        <v>#VALUE!</v>
      </c>
    </row>
    <row r="554" customFormat="false" ht="12.75" hidden="false" customHeight="true" outlineLevel="0" collapsed="false">
      <c r="A554" s="228" t="e">
        <f aca="false">IF(OR(G553="",G553&lt;=0,C553&gt;150),NA(),A553+1)</f>
        <v>#N/A</v>
      </c>
      <c r="B554" s="229" t="str">
        <f aca="false">IF(ISERROR(A554),"",IF($D$9="Annually",EDATE(B553,12),EDATE(B553,1)))</f>
        <v/>
      </c>
      <c r="C554" s="230" t="str">
        <f aca="false">IF(ISERROR(A554),"",C553+IF($D$9="Monthly",1/12,1))</f>
        <v/>
      </c>
      <c r="D554" s="231" t="n">
        <f aca="false">IF(L553&lt;&gt;1, IF(G553&lt;E553,0,D553),IF(L553=1,IFERROR(ROUND(IF($G553 - (E553 * 6) &lt; 0, D553, ($G553 - (E553 * 6)) * $D$8 / 12),2),0) ) )</f>
        <v>0</v>
      </c>
      <c r="E554" s="231" t="n">
        <f aca="false">IF(ISERROR(A554), 0,  MAX(0,   MIN(    ROUND(G553 + D554, 2),    ROUND(FV($S$5, IF(type=1, A554, A553), , IF(J554&lt;&gt;1, -$D$20, -$P$16 + P554), 2), 0)   )  ) )</f>
        <v>0</v>
      </c>
      <c r="F554" s="231" t="n">
        <f aca="false">IF(J554&lt;&gt;1, "", IF(J553&lt;&gt;0, F553, $K$12))</f>
        <v>1</v>
      </c>
      <c r="G554" s="232" t="str">
        <f aca="false">IF(ISERROR(A554),"",ROUND(G553-E554+D554,2))</f>
        <v/>
      </c>
      <c r="H554" s="237" t="str">
        <f aca="false">IF(G554&gt;0,IFERROR(H553+(H553*($D$16/12)),""),"")</f>
        <v/>
      </c>
      <c r="I554" s="223" t="str">
        <f aca="false">IF(ISERROR(A555),"",12 - MONTH(B554))</f>
        <v/>
      </c>
      <c r="J554" s="224" t="n">
        <f aca="false">K554</f>
        <v>1</v>
      </c>
      <c r="K554" s="225" t="n">
        <f aca="false">_xlfn.IFNA(IF(B554&gt;=$K$11, 1,0),0)</f>
        <v>1</v>
      </c>
      <c r="L554" s="60" t="str">
        <f aca="false">IF(I554=0,1,"")</f>
        <v/>
      </c>
      <c r="P554" s="4" t="e">
        <f aca="false">IF(AND(G554&gt;E554, A554&lt;&gt;"0.00", V554&lt;&gt;0), $N$5 * ($P$22 ^ V554 - 1), 0)</f>
        <v>#N/A</v>
      </c>
      <c r="V554" s="71" t="e">
        <f aca="false">IF(B554&lt;EDATE($K$11,12), 0,  DATEDIF(EDATE($K$11,12), B554 + 1, "y") + 1 )</f>
        <v>#VALUE!</v>
      </c>
    </row>
    <row r="555" customFormat="false" ht="12.75" hidden="false" customHeight="true" outlineLevel="0" collapsed="false">
      <c r="A555" s="228" t="e">
        <f aca="false">IF(OR(G554="",G554&lt;=0,C554&gt;150),NA(),A554+1)</f>
        <v>#N/A</v>
      </c>
      <c r="B555" s="229" t="str">
        <f aca="false">IF(ISERROR(A555),"",IF($D$9="Annually",EDATE(B554,12),EDATE(B554,1)))</f>
        <v/>
      </c>
      <c r="C555" s="230" t="str">
        <f aca="false">IF(ISERROR(A555),"",C554+IF($D$9="Monthly",1/12,1))</f>
        <v/>
      </c>
      <c r="D555" s="231" t="n">
        <f aca="false">IF(L554&lt;&gt;1, IF(G554&lt;E554,0,D554),IF(L554=1,IFERROR(ROUND(IF($G554 - (E554 * 6) &lt; 0, D554, ($G554 - (E554 * 6)) * $D$8 / 12),2),0) ) )</f>
        <v>0</v>
      </c>
      <c r="E555" s="231" t="n">
        <f aca="false">IF(ISERROR(A555), 0,  MAX(0,   MIN(    ROUND(G554 + D555, 2),    ROUND(FV($S$5, IF(type=1, A555, A554), , IF(J555&lt;&gt;1, -$D$20, -$P$16 + P555), 2), 0)   )  ) )</f>
        <v>0</v>
      </c>
      <c r="F555" s="231" t="n">
        <f aca="false">IF(J555&lt;&gt;1, "", IF(J554&lt;&gt;0, F554, $K$12))</f>
        <v>1</v>
      </c>
      <c r="G555" s="232" t="str">
        <f aca="false">IF(ISERROR(A555),"",ROUND(G554-E555+D555,2))</f>
        <v/>
      </c>
      <c r="H555" s="237" t="str">
        <f aca="false">IF(G555&gt;0,IFERROR(H554+(H554*($D$16/12)),""),"")</f>
        <v/>
      </c>
      <c r="I555" s="223" t="str">
        <f aca="false">IF(ISERROR(A556),"",12 - MONTH(B555))</f>
        <v/>
      </c>
      <c r="J555" s="224" t="n">
        <f aca="false">K555</f>
        <v>1</v>
      </c>
      <c r="K555" s="225" t="n">
        <f aca="false">_xlfn.IFNA(IF(B555&gt;=$K$11, 1,0),0)</f>
        <v>1</v>
      </c>
      <c r="L555" s="60" t="str">
        <f aca="false">IF(I555=0,1,"")</f>
        <v/>
      </c>
      <c r="P555" s="4" t="e">
        <f aca="false">IF(AND(G555&gt;E555, A555&lt;&gt;"0.00", V555&lt;&gt;0), $N$5 * ($P$22 ^ V555 - 1), 0)</f>
        <v>#N/A</v>
      </c>
      <c r="V555" s="71" t="e">
        <f aca="false">IF(B555&lt;EDATE($K$11,12), 0,  DATEDIF(EDATE($K$11,12), B555 + 1, "y") + 1 )</f>
        <v>#VALUE!</v>
      </c>
    </row>
    <row r="556" customFormat="false" ht="12.75" hidden="false" customHeight="true" outlineLevel="0" collapsed="false">
      <c r="A556" s="228" t="e">
        <f aca="false">IF(OR(G555="",G555&lt;=0,C555&gt;150),NA(),A555+1)</f>
        <v>#N/A</v>
      </c>
      <c r="B556" s="229" t="str">
        <f aca="false">IF(ISERROR(A556),"",IF($D$9="Annually",EDATE(B555,12),EDATE(B555,1)))</f>
        <v/>
      </c>
      <c r="C556" s="230" t="str">
        <f aca="false">IF(ISERROR(A556),"",C555+IF($D$9="Monthly",1/12,1))</f>
        <v/>
      </c>
      <c r="D556" s="231" t="n">
        <f aca="false">IF(L555&lt;&gt;1, IF(G555&lt;E555,0,D555),IF(L555=1,IFERROR(ROUND(IF($G555 - (E555 * 6) &lt; 0, D555, ($G555 - (E555 * 6)) * $D$8 / 12),2),0) ) )</f>
        <v>0</v>
      </c>
      <c r="E556" s="231" t="n">
        <f aca="false">IF(ISERROR(A556), 0,  MAX(0,   MIN(    ROUND(G555 + D556, 2),    ROUND(FV($S$5, IF(type=1, A556, A555), , IF(J556&lt;&gt;1, -$D$20, -$P$16 + P556), 2), 0)   )  ) )</f>
        <v>0</v>
      </c>
      <c r="F556" s="231" t="n">
        <f aca="false">IF(J556&lt;&gt;1, "", IF(J555&lt;&gt;0, F555, $K$12))</f>
        <v>1</v>
      </c>
      <c r="G556" s="232" t="str">
        <f aca="false">IF(ISERROR(A556),"",ROUND(G555-E556+D556,2))</f>
        <v/>
      </c>
      <c r="H556" s="237" t="str">
        <f aca="false">IF(G556&gt;0,IFERROR(H555+(H555*($D$16/12)),""),"")</f>
        <v/>
      </c>
      <c r="I556" s="223" t="str">
        <f aca="false">IF(ISERROR(A557),"",12 - MONTH(B556))</f>
        <v/>
      </c>
      <c r="J556" s="224" t="n">
        <f aca="false">K556</f>
        <v>1</v>
      </c>
      <c r="K556" s="225" t="n">
        <f aca="false">_xlfn.IFNA(IF(B556&gt;=$K$11, 1,0),0)</f>
        <v>1</v>
      </c>
      <c r="L556" s="60" t="str">
        <f aca="false">IF(I556=0,1,"")</f>
        <v/>
      </c>
      <c r="P556" s="4" t="e">
        <f aca="false">IF(AND(G556&gt;E556, A556&lt;&gt;"0.00", V556&lt;&gt;0), $N$5 * ($P$22 ^ V556 - 1), 0)</f>
        <v>#N/A</v>
      </c>
      <c r="V556" s="71" t="e">
        <f aca="false">IF(B556&lt;EDATE($K$11,12), 0,  DATEDIF(EDATE($K$11,12), B556 + 1, "y") + 1 )</f>
        <v>#VALUE!</v>
      </c>
    </row>
    <row r="557" customFormat="false" ht="12.75" hidden="false" customHeight="true" outlineLevel="0" collapsed="false">
      <c r="A557" s="228" t="e">
        <f aca="false">IF(OR(G556="",G556&lt;=0,C556&gt;150),NA(),A556+1)</f>
        <v>#N/A</v>
      </c>
      <c r="B557" s="229" t="str">
        <f aca="false">IF(ISERROR(A557),"",IF($D$9="Annually",EDATE(B556,12),EDATE(B556,1)))</f>
        <v/>
      </c>
      <c r="C557" s="230" t="str">
        <f aca="false">IF(ISERROR(A557),"",C556+IF($D$9="Monthly",1/12,1))</f>
        <v/>
      </c>
      <c r="D557" s="231" t="n">
        <f aca="false">IF(L556&lt;&gt;1, IF(G556&lt;E556,0,D556),IF(L556=1,IFERROR(ROUND(IF($G556 - (E556 * 6) &lt; 0, D556, ($G556 - (E556 * 6)) * $D$8 / 12),2),0) ) )</f>
        <v>0</v>
      </c>
      <c r="E557" s="231" t="n">
        <f aca="false">IF(ISERROR(A557), 0,  MAX(0,   MIN(    ROUND(G556 + D557, 2),    ROUND(FV($S$5, IF(type=1, A557, A556), , IF(J557&lt;&gt;1, -$D$20, -$P$16 + P557), 2), 0)   )  ) )</f>
        <v>0</v>
      </c>
      <c r="F557" s="231" t="n">
        <f aca="false">IF(J557&lt;&gt;1, "", IF(J556&lt;&gt;0, F556, $K$12))</f>
        <v>1</v>
      </c>
      <c r="G557" s="232" t="str">
        <f aca="false">IF(ISERROR(A557),"",ROUND(G556-E557+D557,2))</f>
        <v/>
      </c>
      <c r="H557" s="237" t="str">
        <f aca="false">IF(G557&gt;0,IFERROR(H556+(H556*($D$16/12)),""),"")</f>
        <v/>
      </c>
      <c r="I557" s="223" t="str">
        <f aca="false">IF(ISERROR(A558),"",12 - MONTH(B557))</f>
        <v/>
      </c>
      <c r="J557" s="224" t="n">
        <f aca="false">K557</f>
        <v>1</v>
      </c>
      <c r="K557" s="225" t="n">
        <f aca="false">_xlfn.IFNA(IF(B557&gt;=$K$11, 1,0),0)</f>
        <v>1</v>
      </c>
      <c r="L557" s="60" t="str">
        <f aca="false">IF(I557=0,1,"")</f>
        <v/>
      </c>
      <c r="P557" s="4" t="e">
        <f aca="false">IF(AND(G557&gt;E557, A557&lt;&gt;"0.00", V557&lt;&gt;0), $N$5 * ($P$22 ^ V557 - 1), 0)</f>
        <v>#N/A</v>
      </c>
      <c r="V557" s="71" t="e">
        <f aca="false">IF(B557&lt;EDATE($K$11,12), 0,  DATEDIF(EDATE($K$11,12), B557 + 1, "y") + 1 )</f>
        <v>#VALUE!</v>
      </c>
    </row>
    <row r="558" customFormat="false" ht="12.75" hidden="false" customHeight="true" outlineLevel="0" collapsed="false">
      <c r="A558" s="228" t="e">
        <f aca="false">IF(OR(G557="",G557&lt;=0,C557&gt;150),NA(),A557+1)</f>
        <v>#N/A</v>
      </c>
      <c r="B558" s="229" t="str">
        <f aca="false">IF(ISERROR(A558),"",IF($D$9="Annually",EDATE(B557,12),EDATE(B557,1)))</f>
        <v/>
      </c>
      <c r="C558" s="230" t="str">
        <f aca="false">IF(ISERROR(A558),"",C557+IF($D$9="Monthly",1/12,1))</f>
        <v/>
      </c>
      <c r="D558" s="231" t="n">
        <f aca="false">IF(L557&lt;&gt;1, IF(G557&lt;E557,0,D557),IF(L557=1,IFERROR(ROUND(IF($G557 - (E557 * 6) &lt; 0, D557, ($G557 - (E557 * 6)) * $D$8 / 12),2),0) ) )</f>
        <v>0</v>
      </c>
      <c r="E558" s="231" t="n">
        <f aca="false">IF(ISERROR(A558), 0,  MAX(0,   MIN(    ROUND(G557 + D558, 2),    ROUND(FV($S$5, IF(type=1, A558, A557), , IF(J558&lt;&gt;1, -$D$20, -$P$16 + P558), 2), 0)   )  ) )</f>
        <v>0</v>
      </c>
      <c r="F558" s="231" t="n">
        <f aca="false">IF(J558&lt;&gt;1, "", IF(J557&lt;&gt;0, F557, $K$12))</f>
        <v>1</v>
      </c>
      <c r="G558" s="232" t="str">
        <f aca="false">IF(ISERROR(A558),"",ROUND(G557-E558+D558,2))</f>
        <v/>
      </c>
      <c r="H558" s="237" t="str">
        <f aca="false">IF(G558&gt;0,IFERROR(H557+(H557*($D$16/12)),""),"")</f>
        <v/>
      </c>
      <c r="I558" s="223" t="str">
        <f aca="false">IF(ISERROR(A559),"",12 - MONTH(B558))</f>
        <v/>
      </c>
      <c r="J558" s="224" t="n">
        <f aca="false">K558</f>
        <v>1</v>
      </c>
      <c r="K558" s="225" t="n">
        <f aca="false">_xlfn.IFNA(IF(B558&gt;=$K$11, 1,0),0)</f>
        <v>1</v>
      </c>
      <c r="L558" s="60" t="str">
        <f aca="false">IF(I558=0,1,"")</f>
        <v/>
      </c>
      <c r="P558" s="4" t="e">
        <f aca="false">IF(AND(G558&gt;E558, A558&lt;&gt;"0.00", V558&lt;&gt;0), $N$5 * ($P$22 ^ V558 - 1), 0)</f>
        <v>#N/A</v>
      </c>
      <c r="V558" s="71" t="e">
        <f aca="false">IF(B558&lt;EDATE($K$11,12), 0,  DATEDIF(EDATE($K$11,12), B558 + 1, "y") + 1 )</f>
        <v>#VALUE!</v>
      </c>
    </row>
    <row r="559" customFormat="false" ht="12.75" hidden="false" customHeight="true" outlineLevel="0" collapsed="false">
      <c r="A559" s="228" t="e">
        <f aca="false">IF(OR(G558="",G558&lt;=0,C558&gt;150),NA(),A558+1)</f>
        <v>#N/A</v>
      </c>
      <c r="B559" s="229" t="str">
        <f aca="false">IF(ISERROR(A559),"",IF($D$9="Annually",EDATE(B558,12),EDATE(B558,1)))</f>
        <v/>
      </c>
      <c r="C559" s="230" t="str">
        <f aca="false">IF(ISERROR(A559),"",C558+IF($D$9="Monthly",1/12,1))</f>
        <v/>
      </c>
      <c r="D559" s="231" t="n">
        <f aca="false">IF(L558&lt;&gt;1, IF(G558&lt;E558,0,D558),IF(L558=1,IFERROR(ROUND(IF($G558 - (E558 * 6) &lt; 0, D558, ($G558 - (E558 * 6)) * $D$8 / 12),2),0) ) )</f>
        <v>0</v>
      </c>
      <c r="E559" s="231" t="n">
        <f aca="false">IF(ISERROR(A559), 0,  MAX(0,   MIN(    ROUND(G558 + D559, 2),    ROUND(FV($S$5, IF(type=1, A559, A558), , IF(J559&lt;&gt;1, -$D$20, -$P$16 + P559), 2), 0)   )  ) )</f>
        <v>0</v>
      </c>
      <c r="F559" s="231" t="n">
        <f aca="false">IF(J559&lt;&gt;1, "", IF(J558&lt;&gt;0, F558, $K$12))</f>
        <v>1</v>
      </c>
      <c r="G559" s="232" t="str">
        <f aca="false">IF(ISERROR(A559),"",ROUND(G558-E559+D559,2))</f>
        <v/>
      </c>
      <c r="H559" s="237" t="str">
        <f aca="false">IF(G559&gt;0,IFERROR(H558+(H558*($D$16/12)),""),"")</f>
        <v/>
      </c>
      <c r="I559" s="223" t="str">
        <f aca="false">IF(ISERROR(A560),"",12 - MONTH(B559))</f>
        <v/>
      </c>
      <c r="J559" s="224" t="n">
        <f aca="false">K559</f>
        <v>1</v>
      </c>
      <c r="K559" s="225" t="n">
        <f aca="false">_xlfn.IFNA(IF(B559&gt;=$K$11, 1,0),0)</f>
        <v>1</v>
      </c>
      <c r="L559" s="60" t="str">
        <f aca="false">IF(I559=0,1,"")</f>
        <v/>
      </c>
      <c r="P559" s="4" t="e">
        <f aca="false">IF(AND(G559&gt;E559, A559&lt;&gt;"0.00", V559&lt;&gt;0), $N$5 * ($P$22 ^ V559 - 1), 0)</f>
        <v>#N/A</v>
      </c>
      <c r="V559" s="71" t="e">
        <f aca="false">IF(B559&lt;EDATE($K$11,12), 0,  DATEDIF(EDATE($K$11,12), B559 + 1, "y") + 1 )</f>
        <v>#VALUE!</v>
      </c>
    </row>
    <row r="560" customFormat="false" ht="12.75" hidden="false" customHeight="true" outlineLevel="0" collapsed="false">
      <c r="A560" s="228" t="e">
        <f aca="false">IF(OR(G559="",G559&lt;=0,C559&gt;150),NA(),A559+1)</f>
        <v>#N/A</v>
      </c>
      <c r="B560" s="229" t="str">
        <f aca="false">IF(ISERROR(A560),"",IF($D$9="Annually",EDATE(B559,12),EDATE(B559,1)))</f>
        <v/>
      </c>
      <c r="C560" s="230" t="str">
        <f aca="false">IF(ISERROR(A560),"",C559+IF($D$9="Monthly",1/12,1))</f>
        <v/>
      </c>
      <c r="D560" s="231" t="n">
        <f aca="false">IF(L559&lt;&gt;1, IF(G559&lt;E559,0,D559),IF(L559=1,IFERROR(ROUND(IF($G559 - (E559 * 6) &lt; 0, D559, ($G559 - (E559 * 6)) * $D$8 / 12),2),0) ) )</f>
        <v>0</v>
      </c>
      <c r="E560" s="231" t="n">
        <f aca="false">IF(ISERROR(A560), 0,  MAX(0,   MIN(    ROUND(G559 + D560, 2),    ROUND(FV($S$5, IF(type=1, A560, A559), , IF(J560&lt;&gt;1, -$D$20, -$P$16 + P560), 2), 0)   )  ) )</f>
        <v>0</v>
      </c>
      <c r="F560" s="231" t="n">
        <f aca="false">IF(J560&lt;&gt;1, "", IF(J559&lt;&gt;0, F559, $K$12))</f>
        <v>1</v>
      </c>
      <c r="G560" s="232" t="str">
        <f aca="false">IF(ISERROR(A560),"",ROUND(G559-E560+D560,2))</f>
        <v/>
      </c>
      <c r="H560" s="237" t="str">
        <f aca="false">IF(G560&gt;0,IFERROR(H559+(H559*($D$16/12)),""),"")</f>
        <v/>
      </c>
      <c r="I560" s="223" t="str">
        <f aca="false">IF(ISERROR(A561),"",12 - MONTH(B560))</f>
        <v/>
      </c>
      <c r="J560" s="224" t="n">
        <f aca="false">K560</f>
        <v>1</v>
      </c>
      <c r="K560" s="225" t="n">
        <f aca="false">_xlfn.IFNA(IF(B560&gt;=$K$11, 1,0),0)</f>
        <v>1</v>
      </c>
      <c r="L560" s="60" t="str">
        <f aca="false">IF(I560=0,1,"")</f>
        <v/>
      </c>
      <c r="P560" s="4" t="e">
        <f aca="false">IF(AND(G560&gt;E560, A560&lt;&gt;"0.00", V560&lt;&gt;0), $N$5 * ($P$22 ^ V560 - 1), 0)</f>
        <v>#N/A</v>
      </c>
      <c r="V560" s="71" t="e">
        <f aca="false">IF(B560&lt;EDATE($K$11,12), 0,  DATEDIF(EDATE($K$11,12), B560 + 1, "y") + 1 )</f>
        <v>#VALUE!</v>
      </c>
    </row>
    <row r="561" customFormat="false" ht="12.75" hidden="false" customHeight="true" outlineLevel="0" collapsed="false">
      <c r="A561" s="228" t="e">
        <f aca="false">IF(OR(G560="",G560&lt;=0,C560&gt;150),NA(),A560+1)</f>
        <v>#N/A</v>
      </c>
      <c r="B561" s="229" t="str">
        <f aca="false">IF(ISERROR(A561),"",IF($D$9="Annually",EDATE(B560,12),EDATE(B560,1)))</f>
        <v/>
      </c>
      <c r="C561" s="230" t="str">
        <f aca="false">IF(ISERROR(A561),"",C560+IF($D$9="Monthly",1/12,1))</f>
        <v/>
      </c>
      <c r="D561" s="231" t="n">
        <f aca="false">IF(L560&lt;&gt;1, IF(G560&lt;E560,0,D560),IF(L560=1,IFERROR(ROUND(IF($G560 - (E560 * 6) &lt; 0, D560, ($G560 - (E560 * 6)) * $D$8 / 12),2),0) ) )</f>
        <v>0</v>
      </c>
      <c r="E561" s="231" t="n">
        <f aca="false">IF(ISERROR(A561), 0,  MAX(0,   MIN(    ROUND(G560 + D561, 2),    ROUND(FV($S$5, IF(type=1, A561, A560), , IF(J561&lt;&gt;1, -$D$20, -$P$16 + P561), 2), 0)   )  ) )</f>
        <v>0</v>
      </c>
      <c r="F561" s="231" t="n">
        <f aca="false">IF(J561&lt;&gt;1, "", IF(J560&lt;&gt;0, F560, $K$12))</f>
        <v>1</v>
      </c>
      <c r="G561" s="232" t="str">
        <f aca="false">IF(ISERROR(A561),"",ROUND(G560-E561+D561,2))</f>
        <v/>
      </c>
      <c r="H561" s="237" t="str">
        <f aca="false">IF(G561&gt;0,IFERROR(H560+(H560*($D$16/12)),""),"")</f>
        <v/>
      </c>
      <c r="I561" s="223" t="str">
        <f aca="false">IF(ISERROR(A562),"",12 - MONTH(B561))</f>
        <v/>
      </c>
      <c r="J561" s="224" t="n">
        <f aca="false">K561</f>
        <v>1</v>
      </c>
      <c r="K561" s="225" t="n">
        <f aca="false">_xlfn.IFNA(IF(B561&gt;=$K$11, 1,0),0)</f>
        <v>1</v>
      </c>
      <c r="L561" s="60" t="str">
        <f aca="false">IF(I561=0,1,"")</f>
        <v/>
      </c>
      <c r="P561" s="4" t="e">
        <f aca="false">IF(AND(G561&gt;E561, A561&lt;&gt;"0.00", V561&lt;&gt;0), $N$5 * ($P$22 ^ V561 - 1), 0)</f>
        <v>#N/A</v>
      </c>
      <c r="V561" s="71" t="e">
        <f aca="false">IF(B561&lt;EDATE($K$11,12), 0,  DATEDIF(EDATE($K$11,12), B561 + 1, "y") + 1 )</f>
        <v>#VALUE!</v>
      </c>
    </row>
    <row r="562" customFormat="false" ht="12.75" hidden="false" customHeight="true" outlineLevel="0" collapsed="false">
      <c r="A562" s="228" t="e">
        <f aca="false">IF(OR(G561="",G561&lt;=0,C561&gt;150),NA(),A561+1)</f>
        <v>#N/A</v>
      </c>
      <c r="B562" s="229" t="str">
        <f aca="false">IF(ISERROR(A562),"",IF($D$9="Annually",EDATE(B561,12),EDATE(B561,1)))</f>
        <v/>
      </c>
      <c r="C562" s="230" t="str">
        <f aca="false">IF(ISERROR(A562),"",C561+IF($D$9="Monthly",1/12,1))</f>
        <v/>
      </c>
      <c r="D562" s="231" t="n">
        <f aca="false">IF(L561&lt;&gt;1, IF(G561&lt;E561,0,D561),IF(L561=1,IFERROR(ROUND(IF($G561 - (E561 * 6) &lt; 0, D561, ($G561 - (E561 * 6)) * $D$8 / 12),2),0) ) )</f>
        <v>0</v>
      </c>
      <c r="E562" s="231" t="n">
        <f aca="false">IF(ISERROR(A562), 0,  MAX(0,   MIN(    ROUND(G561 + D562, 2),    ROUND(FV($S$5, IF(type=1, A562, A561), , IF(J562&lt;&gt;1, -$D$20, -$P$16 + P562), 2), 0)   )  ) )</f>
        <v>0</v>
      </c>
      <c r="F562" s="231" t="n">
        <f aca="false">IF(J562&lt;&gt;1, "", IF(J561&lt;&gt;0, F561, $K$12))</f>
        <v>1</v>
      </c>
      <c r="G562" s="232" t="str">
        <f aca="false">IF(ISERROR(A562),"",ROUND(G561-E562+D562,2))</f>
        <v/>
      </c>
      <c r="H562" s="237" t="str">
        <f aca="false">IF(G562&gt;0,IFERROR(H561+(H561*($D$16/12)),""),"")</f>
        <v/>
      </c>
      <c r="I562" s="223" t="str">
        <f aca="false">IF(ISERROR(A563),"",12 - MONTH(B562))</f>
        <v/>
      </c>
      <c r="J562" s="224" t="n">
        <f aca="false">K562</f>
        <v>1</v>
      </c>
      <c r="K562" s="225" t="n">
        <f aca="false">_xlfn.IFNA(IF(B562&gt;=$K$11, 1,0),0)</f>
        <v>1</v>
      </c>
      <c r="L562" s="60" t="str">
        <f aca="false">IF(I562=0,1,"")</f>
        <v/>
      </c>
      <c r="P562" s="4" t="e">
        <f aca="false">IF(AND(G562&gt;E562, A562&lt;&gt;"0.00", V562&lt;&gt;0), $N$5 * ($P$22 ^ V562 - 1), 0)</f>
        <v>#N/A</v>
      </c>
      <c r="V562" s="71" t="e">
        <f aca="false">IF(B562&lt;EDATE($K$11,12), 0,  DATEDIF(EDATE($K$11,12), B562 + 1, "y") + 1 )</f>
        <v>#VALUE!</v>
      </c>
    </row>
    <row r="563" customFormat="false" ht="12.75" hidden="false" customHeight="true" outlineLevel="0" collapsed="false">
      <c r="A563" s="228" t="e">
        <f aca="false">IF(OR(G562="",G562&lt;=0,C562&gt;150),NA(),A562+1)</f>
        <v>#N/A</v>
      </c>
      <c r="B563" s="229" t="str">
        <f aca="false">IF(ISERROR(A563),"",IF($D$9="Annually",EDATE(B562,12),EDATE(B562,1)))</f>
        <v/>
      </c>
      <c r="C563" s="230" t="str">
        <f aca="false">IF(ISERROR(A563),"",C562+IF($D$9="Monthly",1/12,1))</f>
        <v/>
      </c>
      <c r="D563" s="231" t="n">
        <f aca="false">IF(L562&lt;&gt;1, IF(G562&lt;E562,0,D562),IF(L562=1,IFERROR(ROUND(IF($G562 - (E562 * 6) &lt; 0, D562, ($G562 - (E562 * 6)) * $D$8 / 12),2),0) ) )</f>
        <v>0</v>
      </c>
      <c r="E563" s="231" t="n">
        <f aca="false">IF(ISERROR(A563), 0,  MAX(0,   MIN(    ROUND(G562 + D563, 2),    ROUND(FV($S$5, IF(type=1, A563, A562), , IF(J563&lt;&gt;1, -$D$20, -$P$16 + P563), 2), 0)   )  ) )</f>
        <v>0</v>
      </c>
      <c r="F563" s="231" t="n">
        <f aca="false">IF(J563&lt;&gt;1, "", IF(J562&lt;&gt;0, F562, $K$12))</f>
        <v>1</v>
      </c>
      <c r="G563" s="232" t="str">
        <f aca="false">IF(ISERROR(A563),"",ROUND(G562-E563+D563,2))</f>
        <v/>
      </c>
      <c r="H563" s="237" t="str">
        <f aca="false">IF(G563&gt;0,IFERROR(H562+(H562*($D$16/12)),""),"")</f>
        <v/>
      </c>
      <c r="I563" s="223" t="str">
        <f aca="false">IF(ISERROR(A564),"",12 - MONTH(B563))</f>
        <v/>
      </c>
      <c r="J563" s="224" t="n">
        <f aca="false">K563</f>
        <v>1</v>
      </c>
      <c r="K563" s="225" t="n">
        <f aca="false">_xlfn.IFNA(IF(B563&gt;=$K$11, 1,0),0)</f>
        <v>1</v>
      </c>
      <c r="L563" s="60" t="str">
        <f aca="false">IF(I563=0,1,"")</f>
        <v/>
      </c>
      <c r="P563" s="4" t="e">
        <f aca="false">IF(AND(G563&gt;E563, A563&lt;&gt;"0.00", V563&lt;&gt;0), $N$5 * ($P$22 ^ V563 - 1), 0)</f>
        <v>#N/A</v>
      </c>
      <c r="V563" s="71" t="e">
        <f aca="false">IF(B563&lt;EDATE($K$11,12), 0,  DATEDIF(EDATE($K$11,12), B563 + 1, "y") + 1 )</f>
        <v>#VALUE!</v>
      </c>
    </row>
    <row r="564" customFormat="false" ht="12.75" hidden="false" customHeight="true" outlineLevel="0" collapsed="false">
      <c r="A564" s="228" t="e">
        <f aca="false">IF(OR(G563="",G563&lt;=0,C563&gt;150),NA(),A563+1)</f>
        <v>#N/A</v>
      </c>
      <c r="B564" s="229" t="str">
        <f aca="false">IF(ISERROR(A564),"",IF($D$9="Annually",EDATE(B563,12),EDATE(B563,1)))</f>
        <v/>
      </c>
      <c r="C564" s="230" t="str">
        <f aca="false">IF(ISERROR(A564),"",C563+IF($D$9="Monthly",1/12,1))</f>
        <v/>
      </c>
      <c r="D564" s="231" t="n">
        <f aca="false">IF(L563&lt;&gt;1, IF(G563&lt;E563,0,D563),IF(L563=1,IFERROR(ROUND(IF($G563 - (E563 * 6) &lt; 0, D563, ($G563 - (E563 * 6)) * $D$8 / 12),2),0) ) )</f>
        <v>0</v>
      </c>
      <c r="E564" s="231" t="n">
        <f aca="false">IF(ISERROR(A564), 0,  MAX(0,   MIN(    ROUND(G563 + D564, 2),    ROUND(FV($S$5, IF(type=1, A564, A563), , IF(J564&lt;&gt;1, -$D$20, -$P$16 + P564), 2), 0)   )  ) )</f>
        <v>0</v>
      </c>
      <c r="F564" s="231" t="n">
        <f aca="false">IF(J564&lt;&gt;1, "", IF(J563&lt;&gt;0, F563, $K$12))</f>
        <v>1</v>
      </c>
      <c r="G564" s="232" t="str">
        <f aca="false">IF(ISERROR(A564),"",ROUND(G563-E564+D564,2))</f>
        <v/>
      </c>
      <c r="H564" s="237" t="str">
        <f aca="false">IF(G564&gt;0,IFERROR(H563+(H563*($D$16/12)),""),"")</f>
        <v/>
      </c>
      <c r="I564" s="223" t="str">
        <f aca="false">IF(ISERROR(A565),"",12 - MONTH(B564))</f>
        <v/>
      </c>
      <c r="J564" s="224" t="n">
        <f aca="false">K564</f>
        <v>1</v>
      </c>
      <c r="K564" s="225" t="n">
        <f aca="false">_xlfn.IFNA(IF(B564&gt;=$K$11, 1,0),0)</f>
        <v>1</v>
      </c>
      <c r="L564" s="60" t="str">
        <f aca="false">IF(I564=0,1,"")</f>
        <v/>
      </c>
      <c r="P564" s="4" t="e">
        <f aca="false">IF(AND(G564&gt;E564, A564&lt;&gt;"0.00", V564&lt;&gt;0), $N$5 * ($P$22 ^ V564 - 1), 0)</f>
        <v>#N/A</v>
      </c>
      <c r="V564" s="71" t="e">
        <f aca="false">IF(B564&lt;EDATE($K$11,12), 0,  DATEDIF(EDATE($K$11,12), B564 + 1, "y") + 1 )</f>
        <v>#VALUE!</v>
      </c>
    </row>
    <row r="565" customFormat="false" ht="12.75" hidden="false" customHeight="true" outlineLevel="0" collapsed="false">
      <c r="A565" s="228" t="e">
        <f aca="false">IF(OR(G564="",G564&lt;=0,C564&gt;150),NA(),A564+1)</f>
        <v>#N/A</v>
      </c>
      <c r="B565" s="229" t="str">
        <f aca="false">IF(ISERROR(A565),"",IF($D$9="Annually",EDATE(B564,12),EDATE(B564,1)))</f>
        <v/>
      </c>
      <c r="C565" s="230" t="str">
        <f aca="false">IF(ISERROR(A565),"",C564+IF($D$9="Monthly",1/12,1))</f>
        <v/>
      </c>
      <c r="D565" s="231" t="n">
        <f aca="false">IF(L564&lt;&gt;1, IF(G564&lt;E564,0,D564),IF(L564=1,IFERROR(ROUND(IF($G564 - (E564 * 6) &lt; 0, D564, ($G564 - (E564 * 6)) * $D$8 / 12),2),0) ) )</f>
        <v>0</v>
      </c>
      <c r="E565" s="231" t="n">
        <f aca="false">IF(ISERROR(A565), 0,  MAX(0,   MIN(    ROUND(G564 + D565, 2),    ROUND(FV($S$5, IF(type=1, A565, A564), , IF(J565&lt;&gt;1, -$D$20, -$P$16 + P565), 2), 0)   )  ) )</f>
        <v>0</v>
      </c>
      <c r="F565" s="231" t="n">
        <f aca="false">IF(J565&lt;&gt;1, "", IF(J564&lt;&gt;0, F564, $K$12))</f>
        <v>1</v>
      </c>
      <c r="G565" s="232" t="str">
        <f aca="false">IF(ISERROR(A565),"",ROUND(G564-E565+D565,2))</f>
        <v/>
      </c>
      <c r="H565" s="237" t="str">
        <f aca="false">IF(G565&gt;0,IFERROR(H564+(H564*($D$16/12)),""),"")</f>
        <v/>
      </c>
      <c r="I565" s="223" t="str">
        <f aca="false">IF(ISERROR(A566),"",12 - MONTH(B565))</f>
        <v/>
      </c>
      <c r="J565" s="224" t="n">
        <f aca="false">K565</f>
        <v>1</v>
      </c>
      <c r="K565" s="225" t="n">
        <f aca="false">_xlfn.IFNA(IF(B565&gt;=$K$11, 1,0),0)</f>
        <v>1</v>
      </c>
      <c r="L565" s="60" t="str">
        <f aca="false">IF(I565=0,1,"")</f>
        <v/>
      </c>
      <c r="P565" s="4" t="e">
        <f aca="false">IF(AND(G565&gt;E565, A565&lt;&gt;"0.00", V565&lt;&gt;0), $N$5 * ($P$22 ^ V565 - 1), 0)</f>
        <v>#N/A</v>
      </c>
      <c r="V565" s="71" t="e">
        <f aca="false">IF(B565&lt;EDATE($K$11,12), 0,  DATEDIF(EDATE($K$11,12), B565 + 1, "y") + 1 )</f>
        <v>#VALUE!</v>
      </c>
    </row>
    <row r="566" customFormat="false" ht="12.75" hidden="false" customHeight="true" outlineLevel="0" collapsed="false">
      <c r="A566" s="228" t="e">
        <f aca="false">IF(OR(G565="",G565&lt;=0,C565&gt;150),NA(),A565+1)</f>
        <v>#N/A</v>
      </c>
      <c r="B566" s="229" t="str">
        <f aca="false">IF(ISERROR(A566),"",IF($D$9="Annually",EDATE(B565,12),EDATE(B565,1)))</f>
        <v/>
      </c>
      <c r="C566" s="230" t="str">
        <f aca="false">IF(ISERROR(A566),"",C565+IF($D$9="Monthly",1/12,1))</f>
        <v/>
      </c>
      <c r="D566" s="231" t="n">
        <f aca="false">IF(L565&lt;&gt;1, IF(G565&lt;E565,0,D565),IF(L565=1,IFERROR(ROUND(IF($G565 - (E565 * 6) &lt; 0, D565, ($G565 - (E565 * 6)) * $D$8 / 12),2),0) ) )</f>
        <v>0</v>
      </c>
      <c r="E566" s="231" t="n">
        <f aca="false">IF(ISERROR(A566), 0,  MAX(0,   MIN(    ROUND(G565 + D566, 2),    ROUND(FV($S$5, IF(type=1, A566, A565), , IF(J566&lt;&gt;1, -$D$20, -$P$16 + P566), 2), 0)   )  ) )</f>
        <v>0</v>
      </c>
      <c r="F566" s="231" t="n">
        <f aca="false">IF(J566&lt;&gt;1, "", IF(J565&lt;&gt;0, F565, $K$12))</f>
        <v>1</v>
      </c>
      <c r="G566" s="232" t="str">
        <f aca="false">IF(ISERROR(A566),"",ROUND(G565-E566+D566,2))</f>
        <v/>
      </c>
      <c r="H566" s="237" t="str">
        <f aca="false">IF(G566&gt;0,IFERROR(H565+(H565*($D$16/12)),""),"")</f>
        <v/>
      </c>
      <c r="I566" s="223" t="str">
        <f aca="false">IF(ISERROR(A567),"",12 - MONTH(B566))</f>
        <v/>
      </c>
      <c r="J566" s="224" t="n">
        <f aca="false">K566</f>
        <v>1</v>
      </c>
      <c r="K566" s="225" t="n">
        <f aca="false">_xlfn.IFNA(IF(B566&gt;=$K$11, 1,0),0)</f>
        <v>1</v>
      </c>
      <c r="L566" s="60" t="str">
        <f aca="false">IF(I566=0,1,"")</f>
        <v/>
      </c>
      <c r="P566" s="4" t="e">
        <f aca="false">IF(AND(G566&gt;E566, A566&lt;&gt;"0.00", V566&lt;&gt;0), $N$5 * ($P$22 ^ V566 - 1), 0)</f>
        <v>#N/A</v>
      </c>
      <c r="V566" s="71" t="e">
        <f aca="false">IF(B566&lt;EDATE($K$11,12), 0,  DATEDIF(EDATE($K$11,12), B566 + 1, "y") + 1 )</f>
        <v>#VALUE!</v>
      </c>
    </row>
    <row r="567" customFormat="false" ht="12.75" hidden="false" customHeight="true" outlineLevel="0" collapsed="false">
      <c r="A567" s="228" t="e">
        <f aca="false">IF(OR(G566="",G566&lt;=0,C566&gt;150),NA(),A566+1)</f>
        <v>#N/A</v>
      </c>
      <c r="B567" s="229" t="str">
        <f aca="false">IF(ISERROR(A567),"",IF($D$9="Annually",EDATE(B566,12),EDATE(B566,1)))</f>
        <v/>
      </c>
      <c r="C567" s="230" t="str">
        <f aca="false">IF(ISERROR(A567),"",C566+IF($D$9="Monthly",1/12,1))</f>
        <v/>
      </c>
      <c r="D567" s="231" t="n">
        <f aca="false">IF(L566&lt;&gt;1, IF(G566&lt;E566,0,D566),IF(L566=1,IFERROR(ROUND(IF($G566 - (E566 * 6) &lt; 0, D566, ($G566 - (E566 * 6)) * $D$8 / 12),2),0) ) )</f>
        <v>0</v>
      </c>
      <c r="E567" s="231" t="n">
        <f aca="false">IF(ISERROR(A567), 0,  MAX(0,   MIN(    ROUND(G566 + D567, 2),    ROUND(FV($S$5, IF(type=1, A567, A566), , IF(J567&lt;&gt;1, -$D$20, -$P$16 + P567), 2), 0)   )  ) )</f>
        <v>0</v>
      </c>
      <c r="F567" s="231" t="n">
        <f aca="false">IF(J567&lt;&gt;1, "", IF(J566&lt;&gt;0, F566, $K$12))</f>
        <v>1</v>
      </c>
      <c r="G567" s="232" t="str">
        <f aca="false">IF(ISERROR(A567),"",ROUND(G566-E567+D567,2))</f>
        <v/>
      </c>
      <c r="H567" s="237" t="str">
        <f aca="false">IF(G567&gt;0,IFERROR(H566+(H566*($D$16/12)),""),"")</f>
        <v/>
      </c>
      <c r="I567" s="223" t="str">
        <f aca="false">IF(ISERROR(A568),"",12 - MONTH(B567))</f>
        <v/>
      </c>
      <c r="J567" s="224" t="n">
        <f aca="false">K567</f>
        <v>1</v>
      </c>
      <c r="K567" s="225" t="n">
        <f aca="false">_xlfn.IFNA(IF(B567&gt;=$K$11, 1,0),0)</f>
        <v>1</v>
      </c>
      <c r="L567" s="60" t="str">
        <f aca="false">IF(I567=0,1,"")</f>
        <v/>
      </c>
      <c r="P567" s="4" t="e">
        <f aca="false">IF(AND(G567&gt;E567, A567&lt;&gt;"0.00", V567&lt;&gt;0), $N$5 * ($P$22 ^ V567 - 1), 0)</f>
        <v>#N/A</v>
      </c>
      <c r="V567" s="71" t="e">
        <f aca="false">IF(B567&lt;EDATE($K$11,12), 0,  DATEDIF(EDATE($K$11,12), B567 + 1, "y") + 1 )</f>
        <v>#VALUE!</v>
      </c>
    </row>
    <row r="568" customFormat="false" ht="12.75" hidden="false" customHeight="true" outlineLevel="0" collapsed="false">
      <c r="A568" s="228" t="e">
        <f aca="false">IF(OR(G567="",G567&lt;=0,C567&gt;150),NA(),A567+1)</f>
        <v>#N/A</v>
      </c>
      <c r="B568" s="229" t="str">
        <f aca="false">IF(ISERROR(A568),"",IF($D$9="Annually",EDATE(B567,12),EDATE(B567,1)))</f>
        <v/>
      </c>
      <c r="C568" s="230" t="str">
        <f aca="false">IF(ISERROR(A568),"",C567+IF($D$9="Monthly",1/12,1))</f>
        <v/>
      </c>
      <c r="D568" s="231" t="n">
        <f aca="false">IF(L567&lt;&gt;1, IF(G567&lt;E567,0,D567),IF(L567=1,IFERROR(ROUND(IF($G567 - (E567 * 6) &lt; 0, D567, ($G567 - (E567 * 6)) * $D$8 / 12),2),0) ) )</f>
        <v>0</v>
      </c>
      <c r="E568" s="231" t="n">
        <f aca="false">IF(ISERROR(A568), 0,  MAX(0,   MIN(    ROUND(G567 + D568, 2),    ROUND(FV($S$5, IF(type=1, A568, A567), , IF(J568&lt;&gt;1, -$D$20, -$P$16 + P568), 2), 0)   )  ) )</f>
        <v>0</v>
      </c>
      <c r="F568" s="231" t="n">
        <f aca="false">IF(J568&lt;&gt;1, "", IF(J567&lt;&gt;0, F567, $K$12))</f>
        <v>1</v>
      </c>
      <c r="G568" s="232" t="str">
        <f aca="false">IF(ISERROR(A568),"",ROUND(G567-E568+D568,2))</f>
        <v/>
      </c>
      <c r="H568" s="237" t="str">
        <f aca="false">IF(G568&gt;0,IFERROR(H567+(H567*($D$16/12)),""),"")</f>
        <v/>
      </c>
      <c r="I568" s="223" t="str">
        <f aca="false">IF(ISERROR(A569),"",12 - MONTH(B568))</f>
        <v/>
      </c>
      <c r="J568" s="224" t="n">
        <f aca="false">K568</f>
        <v>1</v>
      </c>
      <c r="K568" s="225" t="n">
        <f aca="false">_xlfn.IFNA(IF(B568&gt;=$K$11, 1,0),0)</f>
        <v>1</v>
      </c>
      <c r="L568" s="60" t="str">
        <f aca="false">IF(I568=0,1,"")</f>
        <v/>
      </c>
      <c r="P568" s="4" t="e">
        <f aca="false">IF(AND(G568&gt;E568, A568&lt;&gt;"0.00", V568&lt;&gt;0), $N$5 * ($P$22 ^ V568 - 1), 0)</f>
        <v>#N/A</v>
      </c>
      <c r="V568" s="71" t="e">
        <f aca="false">IF(B568&lt;EDATE($K$11,12), 0,  DATEDIF(EDATE($K$11,12), B568 + 1, "y") + 1 )</f>
        <v>#VALUE!</v>
      </c>
    </row>
    <row r="569" customFormat="false" ht="12.75" hidden="false" customHeight="true" outlineLevel="0" collapsed="false">
      <c r="A569" s="228" t="e">
        <f aca="false">IF(OR(G568="",G568&lt;=0,C568&gt;150),NA(),A568+1)</f>
        <v>#N/A</v>
      </c>
      <c r="B569" s="229" t="str">
        <f aca="false">IF(ISERROR(A569),"",IF($D$9="Annually",EDATE(B568,12),EDATE(B568,1)))</f>
        <v/>
      </c>
      <c r="C569" s="230" t="str">
        <f aca="false">IF(ISERROR(A569),"",C568+IF($D$9="Monthly",1/12,1))</f>
        <v/>
      </c>
      <c r="D569" s="231" t="n">
        <f aca="false">IF(L568&lt;&gt;1, IF(G568&lt;E568,0,D568),IF(L568=1,IFERROR(ROUND(IF($G568 - (E568 * 6) &lt; 0, D568, ($G568 - (E568 * 6)) * $D$8 / 12),2),0) ) )</f>
        <v>0</v>
      </c>
      <c r="E569" s="231" t="n">
        <f aca="false">IF(ISERROR(A569), 0,  MAX(0,   MIN(    ROUND(G568 + D569, 2),    ROUND(FV($S$5, IF(type=1, A569, A568), , IF(J569&lt;&gt;1, -$D$20, -$P$16 + P569), 2), 0)   )  ) )</f>
        <v>0</v>
      </c>
      <c r="F569" s="231" t="n">
        <f aca="false">IF(J569&lt;&gt;1, "", IF(J568&lt;&gt;0, F568, $K$12))</f>
        <v>1</v>
      </c>
      <c r="G569" s="232" t="str">
        <f aca="false">IF(ISERROR(A569),"",ROUND(G568-E569+D569,2))</f>
        <v/>
      </c>
      <c r="H569" s="237" t="str">
        <f aca="false">IF(G569&gt;0,IFERROR(H568+(H568*($D$16/12)),""),"")</f>
        <v/>
      </c>
      <c r="I569" s="223" t="str">
        <f aca="false">IF(ISERROR(A570),"",12 - MONTH(B569))</f>
        <v/>
      </c>
      <c r="J569" s="224" t="n">
        <f aca="false">K569</f>
        <v>1</v>
      </c>
      <c r="K569" s="225" t="n">
        <f aca="false">_xlfn.IFNA(IF(B569&gt;=$K$11, 1,0),0)</f>
        <v>1</v>
      </c>
      <c r="L569" s="60" t="str">
        <f aca="false">IF(I569=0,1,"")</f>
        <v/>
      </c>
      <c r="P569" s="4" t="e">
        <f aca="false">IF(AND(G569&gt;E569, A569&lt;&gt;"0.00", V569&lt;&gt;0), $N$5 * ($P$22 ^ V569 - 1), 0)</f>
        <v>#N/A</v>
      </c>
      <c r="V569" s="71" t="e">
        <f aca="false">IF(B569&lt;EDATE($K$11,12), 0,  DATEDIF(EDATE($K$11,12), B569 + 1, "y") + 1 )</f>
        <v>#VALUE!</v>
      </c>
    </row>
    <row r="570" customFormat="false" ht="12.75" hidden="false" customHeight="true" outlineLevel="0" collapsed="false">
      <c r="A570" s="228" t="e">
        <f aca="false">IF(OR(G569="",G569&lt;=0,C569&gt;150),NA(),A569+1)</f>
        <v>#N/A</v>
      </c>
      <c r="B570" s="229" t="str">
        <f aca="false">IF(ISERROR(A570),"",IF($D$9="Annually",EDATE(B569,12),EDATE(B569,1)))</f>
        <v/>
      </c>
      <c r="C570" s="230" t="str">
        <f aca="false">IF(ISERROR(A570),"",C569+IF($D$9="Monthly",1/12,1))</f>
        <v/>
      </c>
      <c r="D570" s="231" t="n">
        <f aca="false">IF(L569&lt;&gt;1, IF(G569&lt;E569,0,D569),IF(L569=1,IFERROR(ROUND(IF($G569 - (E569 * 6) &lt; 0, D569, ($G569 - (E569 * 6)) * $D$8 / 12),2),0) ) )</f>
        <v>0</v>
      </c>
      <c r="E570" s="231" t="n">
        <f aca="false">IF(ISERROR(A570), 0,  MAX(0,   MIN(    ROUND(G569 + D570, 2),    ROUND(FV($S$5, IF(type=1, A570, A569), , IF(J570&lt;&gt;1, -$D$20, -$P$16 + P570), 2), 0)   )  ) )</f>
        <v>0</v>
      </c>
      <c r="F570" s="231" t="n">
        <f aca="false">IF(J570&lt;&gt;1, "", IF(J569&lt;&gt;0, F569, $K$12))</f>
        <v>1</v>
      </c>
      <c r="G570" s="232" t="str">
        <f aca="false">IF(ISERROR(A570),"",ROUND(G569-E570+D570,2))</f>
        <v/>
      </c>
      <c r="H570" s="237" t="str">
        <f aca="false">IF(G570&gt;0,IFERROR(H569+(H569*($D$16/12)),""),"")</f>
        <v/>
      </c>
      <c r="I570" s="223" t="str">
        <f aca="false">IF(ISERROR(A571),"",12 - MONTH(B570))</f>
        <v/>
      </c>
      <c r="J570" s="224" t="n">
        <f aca="false">K570</f>
        <v>1</v>
      </c>
      <c r="K570" s="225" t="n">
        <f aca="false">_xlfn.IFNA(IF(B570&gt;=$K$11, 1,0),0)</f>
        <v>1</v>
      </c>
      <c r="L570" s="60" t="str">
        <f aca="false">IF(I570=0,1,"")</f>
        <v/>
      </c>
      <c r="P570" s="4" t="e">
        <f aca="false">IF(AND(G570&gt;E570, A570&lt;&gt;"0.00", V570&lt;&gt;0), $N$5 * ($P$22 ^ V570 - 1), 0)</f>
        <v>#N/A</v>
      </c>
      <c r="V570" s="71" t="e">
        <f aca="false">IF(B570&lt;EDATE($K$11,12), 0,  DATEDIF(EDATE($K$11,12), B570 + 1, "y") + 1 )</f>
        <v>#VALUE!</v>
      </c>
    </row>
    <row r="571" customFormat="false" ht="12.75" hidden="false" customHeight="true" outlineLevel="0" collapsed="false">
      <c r="A571" s="228" t="e">
        <f aca="false">IF(OR(G570="",G570&lt;=0,C570&gt;150),NA(),A570+1)</f>
        <v>#N/A</v>
      </c>
      <c r="B571" s="229" t="str">
        <f aca="false">IF(ISERROR(A571),"",IF($D$9="Annually",EDATE(B570,12),EDATE(B570,1)))</f>
        <v/>
      </c>
      <c r="C571" s="230" t="str">
        <f aca="false">IF(ISERROR(A571),"",C570+IF($D$9="Monthly",1/12,1))</f>
        <v/>
      </c>
      <c r="D571" s="231" t="n">
        <f aca="false">IF(L570&lt;&gt;1, IF(G570&lt;E570,0,D570),IF(L570=1,IFERROR(ROUND(IF($G570 - (E570 * 6) &lt; 0, D570, ($G570 - (E570 * 6)) * $D$8 / 12),2),0) ) )</f>
        <v>0</v>
      </c>
      <c r="E571" s="231" t="n">
        <f aca="false">IF(ISERROR(A571), 0,  MAX(0,   MIN(    ROUND(G570 + D571, 2),    ROUND(FV($S$5, IF(type=1, A571, A570), , IF(J571&lt;&gt;1, -$D$20, -$P$16 + P571), 2), 0)   )  ) )</f>
        <v>0</v>
      </c>
      <c r="F571" s="231" t="n">
        <f aca="false">IF(J571&lt;&gt;1, "", IF(J570&lt;&gt;0, F570, $K$12))</f>
        <v>1</v>
      </c>
      <c r="G571" s="232" t="str">
        <f aca="false">IF(ISERROR(A571),"",ROUND(G570-E571+D571,2))</f>
        <v/>
      </c>
      <c r="H571" s="237" t="str">
        <f aca="false">IF(G571&gt;0,IFERROR(H570+(H570*($D$16/12)),""),"")</f>
        <v/>
      </c>
      <c r="I571" s="223" t="str">
        <f aca="false">IF(ISERROR(A572),"",12 - MONTH(B571))</f>
        <v/>
      </c>
      <c r="J571" s="224" t="n">
        <f aca="false">K571</f>
        <v>1</v>
      </c>
      <c r="K571" s="225" t="n">
        <f aca="false">_xlfn.IFNA(IF(B571&gt;=$K$11, 1,0),0)</f>
        <v>1</v>
      </c>
      <c r="L571" s="60" t="str">
        <f aca="false">IF(I571=0,1,"")</f>
        <v/>
      </c>
      <c r="P571" s="4" t="e">
        <f aca="false">IF(AND(G571&gt;E571, A571&lt;&gt;"0.00", V571&lt;&gt;0), $N$5 * ($P$22 ^ V571 - 1), 0)</f>
        <v>#N/A</v>
      </c>
      <c r="V571" s="71" t="e">
        <f aca="false">IF(B571&lt;EDATE($K$11,12), 0,  DATEDIF(EDATE($K$11,12), B571 + 1, "y") + 1 )</f>
        <v>#VALUE!</v>
      </c>
    </row>
    <row r="572" customFormat="false" ht="12.75" hidden="false" customHeight="true" outlineLevel="0" collapsed="false">
      <c r="A572" s="228" t="e">
        <f aca="false">IF(OR(G571="",G571&lt;=0,C571&gt;150),NA(),A571+1)</f>
        <v>#N/A</v>
      </c>
      <c r="B572" s="229" t="str">
        <f aca="false">IF(ISERROR(A572),"",IF($D$9="Annually",EDATE(B571,12),EDATE(B571,1)))</f>
        <v/>
      </c>
      <c r="C572" s="230" t="str">
        <f aca="false">IF(ISERROR(A572),"",C571+IF($D$9="Monthly",1/12,1))</f>
        <v/>
      </c>
      <c r="D572" s="231" t="n">
        <f aca="false">IF(L571&lt;&gt;1, IF(G571&lt;E571,0,D571),IF(L571=1,IFERROR(ROUND(IF($G571 - (E571 * 6) &lt; 0, D571, ($G571 - (E571 * 6)) * $D$8 / 12),2),0) ) )</f>
        <v>0</v>
      </c>
      <c r="E572" s="231" t="n">
        <f aca="false">IF(ISERROR(A572), 0,  MAX(0,   MIN(    ROUND(G571 + D572, 2),    ROUND(FV($S$5, IF(type=1, A572, A571), , IF(J572&lt;&gt;1, -$D$20, -$P$16 + P572), 2), 0)   )  ) )</f>
        <v>0</v>
      </c>
      <c r="F572" s="231" t="n">
        <f aca="false">IF(J572&lt;&gt;1, "", IF(J571&lt;&gt;0, F571, $K$12))</f>
        <v>1</v>
      </c>
      <c r="G572" s="232" t="str">
        <f aca="false">IF(ISERROR(A572),"",ROUND(G571-E572+D572,2))</f>
        <v/>
      </c>
      <c r="H572" s="237" t="str">
        <f aca="false">IF(G572&gt;0,IFERROR(H571+(H571*($D$16/12)),""),"")</f>
        <v/>
      </c>
      <c r="I572" s="223" t="str">
        <f aca="false">IF(ISERROR(A573),"",12 - MONTH(B572))</f>
        <v/>
      </c>
      <c r="J572" s="224" t="n">
        <f aca="false">K572</f>
        <v>1</v>
      </c>
      <c r="K572" s="225" t="n">
        <f aca="false">_xlfn.IFNA(IF(B572&gt;=$K$11, 1,0),0)</f>
        <v>1</v>
      </c>
      <c r="L572" s="60" t="str">
        <f aca="false">IF(I572=0,1,"")</f>
        <v/>
      </c>
      <c r="P572" s="4" t="e">
        <f aca="false">IF(AND(G572&gt;E572, A572&lt;&gt;"0.00", V572&lt;&gt;0), $N$5 * ($P$22 ^ V572 - 1), 0)</f>
        <v>#N/A</v>
      </c>
      <c r="V572" s="71"/>
    </row>
    <row r="573" customFormat="false" ht="12.75" hidden="false" customHeight="true" outlineLevel="0" collapsed="false">
      <c r="A573" s="228" t="e">
        <f aca="false">IF(OR(G572="",G572&lt;=0,C572&gt;150),NA(),A572+1)</f>
        <v>#N/A</v>
      </c>
      <c r="B573" s="229" t="str">
        <f aca="false">IF(ISERROR(A573),"",IF($D$9="Annually",EDATE(B572,12),EDATE(B572,1)))</f>
        <v/>
      </c>
      <c r="C573" s="230" t="str">
        <f aca="false">IF(ISERROR(A573),"",C572+IF($D$9="Monthly",1/12,1))</f>
        <v/>
      </c>
      <c r="D573" s="231" t="n">
        <f aca="false">IF(L572&lt;&gt;1, IF(G572&lt;E572,0,D572),IF(L572=1,IFERROR(ROUND(IF($G572 - (E572 * 6) &lt; 0, D572, ($G572 - (E572 * 6)) * $D$8 / 12),2),0) ) )</f>
        <v>0</v>
      </c>
      <c r="E573" s="231" t="n">
        <f aca="false">IF(ISERROR(A573), 0,  MAX(0,   MIN(    ROUND(G572 + D573, 2),    ROUND(FV($S$5, IF(type=1, A573, A572), , IF(J573&lt;&gt;1, -$D$20, -$P$16 + P573), 2), 0)   )  ) )</f>
        <v>0</v>
      </c>
      <c r="F573" s="231" t="n">
        <f aca="false">IF(J573&lt;&gt;1, "", IF(J572&lt;&gt;0, F572, $K$12))</f>
        <v>1</v>
      </c>
      <c r="G573" s="232" t="str">
        <f aca="false">IF(ISERROR(A573),"",ROUND(G572-E573+D573,2))</f>
        <v/>
      </c>
      <c r="H573" s="237" t="str">
        <f aca="false">IF(G573&gt;0,IFERROR(H572+(H572*($D$16/12)),""),"")</f>
        <v/>
      </c>
      <c r="I573" s="223" t="str">
        <f aca="false">IF(ISERROR(A574),"",12 - MONTH(B573))</f>
        <v/>
      </c>
      <c r="J573" s="224" t="n">
        <f aca="false">K573</f>
        <v>1</v>
      </c>
      <c r="K573" s="225" t="n">
        <f aca="false">_xlfn.IFNA(IF(B573&gt;=$K$11, 1,0),0)</f>
        <v>1</v>
      </c>
      <c r="L573" s="60" t="str">
        <f aca="false">IF(I573=0,1,"")</f>
        <v/>
      </c>
      <c r="P573" s="4" t="e">
        <f aca="false">IF(AND(G573&gt;E573, A573&lt;&gt;"0.00", V573&lt;&gt;0), $N$5 * ($P$22 ^ V573 - 1), 0)</f>
        <v>#N/A</v>
      </c>
      <c r="V573" s="71"/>
    </row>
    <row r="574" customFormat="false" ht="12.75" hidden="false" customHeight="true" outlineLevel="0" collapsed="false">
      <c r="A574" s="228" t="e">
        <f aca="false">IF(OR(G573="",G573&lt;=0,C573&gt;150),NA(),A573+1)</f>
        <v>#N/A</v>
      </c>
      <c r="B574" s="229" t="str">
        <f aca="false">IF(ISERROR(A574),"",IF($D$9="Annually",EDATE(B573,12),EDATE(B573,1)))</f>
        <v/>
      </c>
      <c r="C574" s="230" t="str">
        <f aca="false">IF(ISERROR(A574),"",C573+IF($D$9="Monthly",1/12,1))</f>
        <v/>
      </c>
      <c r="D574" s="231" t="n">
        <f aca="false">IF(L573&lt;&gt;1, IF(G573&lt;E573,0,D573),IF(L573=1,IFERROR(ROUND(IF($G573 - (E573 * 6) &lt; 0, D573, ($G573 - (E573 * 6)) * $D$8 / 12),2),0) ) )</f>
        <v>0</v>
      </c>
      <c r="E574" s="231" t="n">
        <f aca="false">IF(ISERROR(A574), 0,  MAX(0,   MIN(    ROUND(G573 + D574, 2),    ROUND(FV($S$5, IF(type=1, A574, A573), , IF(J574&lt;&gt;1, -$D$20, -$P$16 + P574), 2), 0)   )  ) )</f>
        <v>0</v>
      </c>
      <c r="F574" s="231" t="n">
        <f aca="false">IF(J574&lt;&gt;1, "", IF(J573&lt;&gt;0, F573, $K$12))</f>
        <v>1</v>
      </c>
      <c r="G574" s="232" t="str">
        <f aca="false">IF(ISERROR(A574),"",ROUND(G573-E574+D574,2))</f>
        <v/>
      </c>
      <c r="H574" s="237" t="str">
        <f aca="false">IF(G574&gt;0,IFERROR(H573+(H573*($D$16/12)),""),"")</f>
        <v/>
      </c>
      <c r="I574" s="223" t="str">
        <f aca="false">IF(ISERROR(A575),"",12 - MONTH(B574))</f>
        <v/>
      </c>
      <c r="J574" s="224" t="n">
        <f aca="false">K574</f>
        <v>1</v>
      </c>
      <c r="K574" s="225" t="n">
        <f aca="false">_xlfn.IFNA(IF(B574&gt;=$K$11, 1,0),0)</f>
        <v>1</v>
      </c>
      <c r="L574" s="60" t="str">
        <f aca="false">IF(I574=0,1,"")</f>
        <v/>
      </c>
      <c r="P574" s="4" t="e">
        <f aca="false">IF(AND(G574&gt;E574, A574&lt;&gt;"0.00", V574&lt;&gt;0), $N$5 * ($P$22 ^ V574 - 1), 0)</f>
        <v>#N/A</v>
      </c>
      <c r="V574" s="71"/>
    </row>
    <row r="575" customFormat="false" ht="12.75" hidden="false" customHeight="true" outlineLevel="0" collapsed="false">
      <c r="A575" s="228" t="e">
        <f aca="false">IF(OR(G574="",G574&lt;=0,C574&gt;150),NA(),A574+1)</f>
        <v>#N/A</v>
      </c>
      <c r="B575" s="229" t="str">
        <f aca="false">IF(ISERROR(A575),"",IF($D$9="Annually",EDATE(B574,12),EDATE(B574,1)))</f>
        <v/>
      </c>
      <c r="C575" s="230" t="str">
        <f aca="false">IF(ISERROR(A575),"",C574+IF($D$9="Monthly",1/12,1))</f>
        <v/>
      </c>
      <c r="D575" s="231" t="n">
        <f aca="false">IF(L574&lt;&gt;1, IF(G574&lt;E574,0,D574),IF(L574=1,IFERROR(ROUND(IF($G574 - (E574 * 6) &lt; 0, D574, ($G574 - (E574 * 6)) * $D$8 / 12),2),0) ) )</f>
        <v>0</v>
      </c>
      <c r="E575" s="231" t="n">
        <f aca="false">IF(ISERROR(A575), 0,  MAX(0,   MIN(    ROUND(G574 + D575, 2),    ROUND(FV($S$5, IF(type=1, A575, A574), , IF(J575&lt;&gt;1, -$D$20, -$P$16 + P575), 2), 0)   )  ) )</f>
        <v>0</v>
      </c>
      <c r="F575" s="231" t="n">
        <f aca="false">IF(J575&lt;&gt;1, "", IF(J574&lt;&gt;0, F574, $K$12))</f>
        <v>1</v>
      </c>
      <c r="G575" s="232" t="str">
        <f aca="false">IF(ISERROR(A575),"",ROUND(G574-E575+D575,2))</f>
        <v/>
      </c>
      <c r="H575" s="237" t="str">
        <f aca="false">IF(G575&gt;0,IFERROR(H574+(H574*($D$16/12)),""),"")</f>
        <v/>
      </c>
      <c r="I575" s="223" t="str">
        <f aca="false">IF(ISERROR(A576),"",12 - MONTH(B575))</f>
        <v/>
      </c>
      <c r="J575" s="224" t="n">
        <f aca="false">K575</f>
        <v>1</v>
      </c>
      <c r="K575" s="225" t="n">
        <f aca="false">_xlfn.IFNA(IF(B575&gt;=$K$11, 1,0),0)</f>
        <v>1</v>
      </c>
      <c r="L575" s="60" t="str">
        <f aca="false">IF(I575=0,1,"")</f>
        <v/>
      </c>
      <c r="P575" s="4" t="e">
        <f aca="false">IF(AND(G575&gt;E575, A575&lt;&gt;"0.00", V575&lt;&gt;0), $N$5 * ($P$22 ^ V575 - 1), 0)</f>
        <v>#N/A</v>
      </c>
      <c r="V575" s="71"/>
    </row>
    <row r="576" customFormat="false" ht="12.75" hidden="false" customHeight="true" outlineLevel="0" collapsed="false">
      <c r="A576" s="228" t="e">
        <f aca="false">IF(OR(G575="",G575&lt;=0,C575&gt;150),NA(),A575+1)</f>
        <v>#N/A</v>
      </c>
      <c r="B576" s="229" t="str">
        <f aca="false">IF(ISERROR(A576),"",IF($D$9="Annually",EDATE(B575,12),EDATE(B575,1)))</f>
        <v/>
      </c>
      <c r="C576" s="230" t="str">
        <f aca="false">IF(ISERROR(A576),"",C575+IF($D$9="Monthly",1/12,1))</f>
        <v/>
      </c>
      <c r="D576" s="231" t="n">
        <f aca="false">IF(L575&lt;&gt;1, IF(G575&lt;E575,0,D575),IF(L575=1,IFERROR(ROUND(IF($G575 - (E575 * 6) &lt; 0, D575, ($G575 - (E575 * 6)) * $D$8 / 12),2),0) ) )</f>
        <v>0</v>
      </c>
      <c r="E576" s="231" t="n">
        <f aca="false">IF(ISERROR(A576), 0,  MAX(0,   MIN(    ROUND(G575 + D576, 2),    ROUND(FV($S$5, IF(type=1, A576, A575), , IF(J576&lt;&gt;1, -$D$20, -$P$16 + P576), 2), 0)   )  ) )</f>
        <v>0</v>
      </c>
      <c r="F576" s="231" t="n">
        <f aca="false">IF(J576&lt;&gt;1, "", IF(J575&lt;&gt;0, F575, $K$12))</f>
        <v>1</v>
      </c>
      <c r="G576" s="232" t="str">
        <f aca="false">IF(ISERROR(A576),"",ROUND(G575-E576+D576,2))</f>
        <v/>
      </c>
      <c r="H576" s="237" t="str">
        <f aca="false">IF(G576&gt;0,IFERROR(H575+(H575*($D$16/12)),""),"")</f>
        <v/>
      </c>
      <c r="I576" s="223" t="str">
        <f aca="false">IF(ISERROR(A577),"",12 - MONTH(B576))</f>
        <v/>
      </c>
      <c r="J576" s="224" t="n">
        <f aca="false">K576</f>
        <v>1</v>
      </c>
      <c r="K576" s="225" t="n">
        <f aca="false">_xlfn.IFNA(IF(B576&gt;=$K$11, 1,0),0)</f>
        <v>1</v>
      </c>
      <c r="L576" s="60" t="str">
        <f aca="false">IF(I576=0,1,"")</f>
        <v/>
      </c>
      <c r="P576" s="4" t="e">
        <f aca="false">IF(AND(G576&gt;E576, A576&lt;&gt;"0.00", V576&lt;&gt;0), $N$5 * ($P$22 ^ V576 - 1), 0)</f>
        <v>#N/A</v>
      </c>
      <c r="V576" s="71"/>
    </row>
    <row r="577" customFormat="false" ht="12.75" hidden="false" customHeight="true" outlineLevel="0" collapsed="false">
      <c r="A577" s="228" t="e">
        <f aca="false">IF(OR(G576="",G576&lt;=0,C576&gt;150),NA(),A576+1)</f>
        <v>#N/A</v>
      </c>
      <c r="B577" s="229" t="str">
        <f aca="false">IF(ISERROR(A577),"",IF($D$9="Annually",EDATE(B576,12),EDATE(B576,1)))</f>
        <v/>
      </c>
      <c r="C577" s="230" t="str">
        <f aca="false">IF(ISERROR(A577),"",C576+IF($D$9="Monthly",1/12,1))</f>
        <v/>
      </c>
      <c r="D577" s="231" t="n">
        <f aca="false">IF(L576&lt;&gt;1, IF(G576&lt;E576,0,D576),IF(L576=1,IFERROR(ROUND(IF($G576 - (E576 * 6) &lt; 0, D576, ($G576 - (E576 * 6)) * $D$8 / 12),2),0) ) )</f>
        <v>0</v>
      </c>
      <c r="E577" s="231" t="n">
        <f aca="false">IF(ISERROR(A577), 0,  MAX(0,   MIN(    ROUND(G576 + D577, 2),    ROUND(FV($S$5, IF(type=1, A577, A576), , IF(J577&lt;&gt;1, -$D$20, -$P$16 + P577), 2), 0)   )  ) )</f>
        <v>0</v>
      </c>
      <c r="F577" s="231" t="n">
        <f aca="false">IF(J577&lt;&gt;1, "", IF(J576&lt;&gt;0, F576, $K$12))</f>
        <v>1</v>
      </c>
      <c r="G577" s="232" t="str">
        <f aca="false">IF(ISERROR(A577),"",ROUND(G576-E577+D577,2))</f>
        <v/>
      </c>
      <c r="H577" s="237" t="str">
        <f aca="false">IF(G577&gt;0,IFERROR(H576+(H576*($D$16/12)),""),"")</f>
        <v/>
      </c>
      <c r="I577" s="223" t="str">
        <f aca="false">IF(ISERROR(A578),"",12 - MONTH(B577))</f>
        <v/>
      </c>
      <c r="J577" s="224" t="n">
        <f aca="false">K577</f>
        <v>1</v>
      </c>
      <c r="K577" s="225" t="n">
        <f aca="false">_xlfn.IFNA(IF(B577&gt;=$K$11, 1,0),0)</f>
        <v>1</v>
      </c>
      <c r="L577" s="60" t="str">
        <f aca="false">IF(I577=0,1,"")</f>
        <v/>
      </c>
      <c r="P577" s="4" t="e">
        <f aca="false">IF(AND(G577&gt;E577, A577&lt;&gt;"0.00", V577&lt;&gt;0), $N$5 * ($P$22 ^ V577 - 1), 0)</f>
        <v>#N/A</v>
      </c>
      <c r="V577" s="71"/>
    </row>
    <row r="578" customFormat="false" ht="12.75" hidden="false" customHeight="true" outlineLevel="0" collapsed="false">
      <c r="A578" s="228" t="e">
        <f aca="false">IF(OR(G577="",G577&lt;=0,C577&gt;150),NA(),A577+1)</f>
        <v>#N/A</v>
      </c>
      <c r="B578" s="229" t="str">
        <f aca="false">IF(ISERROR(A578),"",IF($D$9="Annually",EDATE(B577,12),EDATE(B577,1)))</f>
        <v/>
      </c>
      <c r="C578" s="230" t="str">
        <f aca="false">IF(ISERROR(A578),"",C577+IF($D$9="Monthly",1/12,1))</f>
        <v/>
      </c>
      <c r="D578" s="231" t="n">
        <f aca="false">IF(L577&lt;&gt;1, IF(G577&lt;E577,0,D577),IF(L577=1,IFERROR(ROUND(IF($G577 - (E577 * 6) &lt; 0, D577, ($G577 - (E577 * 6)) * $D$8 / 12),2),0) ) )</f>
        <v>0</v>
      </c>
      <c r="E578" s="231" t="n">
        <f aca="false">IF(ISERROR(A578), 0,  MAX(0,   MIN(    ROUND(G577 + D578, 2),    ROUND(FV($S$5, IF(type=1, A578, A577), , IF(J578&lt;&gt;1, -$D$20, -$P$16 + P578), 2), 0)   )  ) )</f>
        <v>0</v>
      </c>
      <c r="F578" s="231" t="n">
        <f aca="false">IF(J578&lt;&gt;1, "", IF(J577&lt;&gt;0, F577, $K$12))</f>
        <v>1</v>
      </c>
      <c r="G578" s="232" t="str">
        <f aca="false">IF(ISERROR(A578),"",ROUND(G577-E578+D578,2))</f>
        <v/>
      </c>
      <c r="H578" s="237" t="str">
        <f aca="false">IF(G578&gt;0,IFERROR(H577+(H577*($D$16/12)),""),"")</f>
        <v/>
      </c>
      <c r="I578" s="223" t="str">
        <f aca="false">IF(ISERROR(A579),"",12 - MONTH(B578))</f>
        <v/>
      </c>
      <c r="J578" s="224" t="n">
        <f aca="false">K578</f>
        <v>1</v>
      </c>
      <c r="K578" s="225" t="n">
        <f aca="false">_xlfn.IFNA(IF(B578&gt;=$K$11, 1,0),0)</f>
        <v>1</v>
      </c>
      <c r="L578" s="60" t="str">
        <f aca="false">IF(I578=0,1,"")</f>
        <v/>
      </c>
      <c r="P578" s="4" t="e">
        <f aca="false">IF(AND(G578&gt;E578, A578&lt;&gt;"0.00", V578&lt;&gt;0), $N$5 * ($P$22 ^ V578 - 1), 0)</f>
        <v>#N/A</v>
      </c>
      <c r="V578" s="71"/>
    </row>
    <row r="579" customFormat="false" ht="12.75" hidden="false" customHeight="true" outlineLevel="0" collapsed="false">
      <c r="A579" s="228" t="e">
        <f aca="false">IF(OR(G578="",G578&lt;=0,C578&gt;150),NA(),A578+1)</f>
        <v>#N/A</v>
      </c>
      <c r="B579" s="229" t="str">
        <f aca="false">IF(ISERROR(A579),"",IF($D$9="Annually",EDATE(B578,12),EDATE(B578,1)))</f>
        <v/>
      </c>
      <c r="C579" s="230" t="str">
        <f aca="false">IF(ISERROR(A579),"",C578+IF($D$9="Monthly",1/12,1))</f>
        <v/>
      </c>
      <c r="D579" s="231" t="n">
        <f aca="false">IF(L578&lt;&gt;1, IF(G578&lt;E578,0,D578),IF(L578=1,IFERROR(ROUND(IF($G578 - (E578 * 6) &lt; 0, D578, ($G578 - (E578 * 6)) * $D$8 / 12),2),0) ) )</f>
        <v>0</v>
      </c>
      <c r="E579" s="231" t="n">
        <f aca="false">IF(ISERROR(A579), 0,  MAX(0,   MIN(    ROUND(G578 + D579, 2),    ROUND(FV($S$5, IF(type=1, A579, A578), , IF(J579&lt;&gt;1, -$D$20, -$P$16 + P579), 2), 0)   )  ) )</f>
        <v>0</v>
      </c>
      <c r="F579" s="231" t="n">
        <f aca="false">IF(J579&lt;&gt;1, "", IF(J578&lt;&gt;0, F578, $K$12))</f>
        <v>1</v>
      </c>
      <c r="G579" s="232" t="str">
        <f aca="false">IF(ISERROR(A579),"",ROUND(G578-E579+D579,2))</f>
        <v/>
      </c>
      <c r="H579" s="237" t="str">
        <f aca="false">IF(G579&gt;0,IFERROR(H578+(H578*($D$16/12)),""),"")</f>
        <v/>
      </c>
      <c r="I579" s="223" t="str">
        <f aca="false">IF(ISERROR(A580),"",12 - MONTH(B579))</f>
        <v/>
      </c>
      <c r="J579" s="224" t="n">
        <f aca="false">K579</f>
        <v>1</v>
      </c>
      <c r="K579" s="225" t="n">
        <f aca="false">_xlfn.IFNA(IF(B579&gt;=$K$11, 1,0),0)</f>
        <v>1</v>
      </c>
      <c r="L579" s="60" t="str">
        <f aca="false">IF(I579=0,1,"")</f>
        <v/>
      </c>
      <c r="P579" s="4" t="e">
        <f aca="false">IF(AND(G579&gt;E579, A579&lt;&gt;"0.00", V579&lt;&gt;0), $N$5 * ($P$22 ^ V579 - 1), 0)</f>
        <v>#N/A</v>
      </c>
      <c r="V579" s="71"/>
    </row>
    <row r="580" customFormat="false" ht="12.75" hidden="false" customHeight="true" outlineLevel="0" collapsed="false">
      <c r="A580" s="228" t="e">
        <f aca="false">IF(OR(G579="",G579&lt;=0,C579&gt;150),NA(),A579+1)</f>
        <v>#N/A</v>
      </c>
      <c r="B580" s="229" t="str">
        <f aca="false">IF(ISERROR(A580),"",IF($D$9="Annually",EDATE(B579,12),EDATE(B579,1)))</f>
        <v/>
      </c>
      <c r="C580" s="230" t="str">
        <f aca="false">IF(ISERROR(A580),"",C579+IF($D$9="Monthly",1/12,1))</f>
        <v/>
      </c>
      <c r="D580" s="231" t="n">
        <f aca="false">IF(L579&lt;&gt;1, IF(G579&lt;E579,0,D579),IF(L579=1,IFERROR(ROUND(IF($G579 - (E579 * 6) &lt; 0, D579, ($G579 - (E579 * 6)) * $D$8 / 12),2),0) ) )</f>
        <v>0</v>
      </c>
      <c r="E580" s="231" t="n">
        <f aca="false">IF(ISERROR(A580), 0,  MAX(0,   MIN(    ROUND(G579 + D580, 2),    ROUND(FV($S$5, IF(type=1, A580, A579), , IF(J580&lt;&gt;1, -$D$20, -$P$16 + P580), 2), 0)   )  ) )</f>
        <v>0</v>
      </c>
      <c r="F580" s="231" t="n">
        <f aca="false">IF(J580&lt;&gt;1, "", IF(J579&lt;&gt;0, F579, $K$12))</f>
        <v>1</v>
      </c>
      <c r="G580" s="232" t="str">
        <f aca="false">IF(ISERROR(A580),"",ROUND(G579-E580+D580,2))</f>
        <v/>
      </c>
      <c r="H580" s="237" t="str">
        <f aca="false">IF(G580&gt;0,IFERROR(H579+(H579*($D$16/12)),""),"")</f>
        <v/>
      </c>
      <c r="I580" s="223" t="str">
        <f aca="false">IF(ISERROR(A581),"",12 - MONTH(B580))</f>
        <v/>
      </c>
      <c r="J580" s="224" t="n">
        <f aca="false">K580</f>
        <v>1</v>
      </c>
      <c r="K580" s="225" t="n">
        <f aca="false">_xlfn.IFNA(IF(B580&gt;=$K$11, 1,0),0)</f>
        <v>1</v>
      </c>
      <c r="L580" s="60" t="str">
        <f aca="false">IF(I580=0,1,"")</f>
        <v/>
      </c>
      <c r="P580" s="4"/>
      <c r="V580" s="71"/>
    </row>
    <row r="581" customFormat="false" ht="12.75" hidden="false" customHeight="true" outlineLevel="0" collapsed="false">
      <c r="A581" s="228" t="e">
        <f aca="false">IF(OR(G580="",G580&lt;=0,C580&gt;150),NA(),A580+1)</f>
        <v>#N/A</v>
      </c>
      <c r="B581" s="229" t="str">
        <f aca="false">IF(ISERROR(A581),"",IF($D$9="Annually",EDATE(B580,12),EDATE(B580,1)))</f>
        <v/>
      </c>
      <c r="C581" s="230" t="str">
        <f aca="false">IF(ISERROR(A581),"",C580+IF($D$9="Monthly",1/12,1))</f>
        <v/>
      </c>
      <c r="D581" s="231" t="n">
        <f aca="false">IF(L580&lt;&gt;1, IF(G580&lt;E580,0,D580),IF(L580=1,IFERROR(ROUND(IF($G580 - (E580 * 6) &lt; 0, D580, ($G580 - (E580 * 6)) * $D$8 / 12),2),0) ) )</f>
        <v>0</v>
      </c>
      <c r="E581" s="231" t="n">
        <f aca="false">IF(ISERROR(A581), 0,  MAX(0,   MIN(    ROUND(G580 + D581, 2),    ROUND(FV($S$5, IF(type=1, A581, A580), , IF(J581&lt;&gt;1, -$D$20, -$P$16 + P581), 2), 0)   )  ) )</f>
        <v>0</v>
      </c>
      <c r="F581" s="231" t="n">
        <f aca="false">IF(J581&lt;&gt;1, "", IF(J580&lt;&gt;0, F580, $K$12))</f>
        <v>1</v>
      </c>
      <c r="G581" s="232" t="str">
        <f aca="false">IF(ISERROR(A581),"",ROUND(G580-E581+D581,2))</f>
        <v/>
      </c>
      <c r="H581" s="237" t="str">
        <f aca="false">IF(G581&gt;0,IFERROR(H580+(H580*($D$16/12)),""),"")</f>
        <v/>
      </c>
      <c r="I581" s="223" t="str">
        <f aca="false">IF(ISERROR(A582),"",12 - MONTH(B581))</f>
        <v/>
      </c>
      <c r="J581" s="224" t="n">
        <f aca="false">K581</f>
        <v>1</v>
      </c>
      <c r="K581" s="225" t="n">
        <f aca="false">_xlfn.IFNA(IF(B581&gt;=$K$11, 1,0),0)</f>
        <v>1</v>
      </c>
      <c r="L581" s="60" t="str">
        <f aca="false">IF(I581=0,1,"")</f>
        <v/>
      </c>
      <c r="P581" s="4"/>
      <c r="V581" s="71"/>
    </row>
    <row r="582" customFormat="false" ht="12.75" hidden="false" customHeight="true" outlineLevel="0" collapsed="false">
      <c r="A582" s="228" t="e">
        <f aca="false">IF(OR(G581="",G581&lt;=0,C581&gt;150),NA(),A581+1)</f>
        <v>#N/A</v>
      </c>
      <c r="B582" s="229" t="str">
        <f aca="false">IF(ISERROR(A582),"",IF($D$9="Annually",EDATE(B581,12),EDATE(B581,1)))</f>
        <v/>
      </c>
      <c r="C582" s="230" t="str">
        <f aca="false">IF(ISERROR(A582),"",C581+IF($D$9="Monthly",1/12,1))</f>
        <v/>
      </c>
      <c r="D582" s="231" t="n">
        <f aca="false">IF(L581&lt;&gt;1, IF(G581&lt;E581,0,D581),IF(L581=1,IFERROR(ROUND(IF($G581 - (E581 * 6) &lt; 0, D581, ($G581 - (E581 * 6)) * $D$8 / 12),2),0) ) )</f>
        <v>0</v>
      </c>
      <c r="E582" s="231" t="n">
        <f aca="false">IF(ISERROR(A582), 0,  MAX(0,   MIN(    ROUND(G581 + D582, 2),    ROUND(FV($S$5, IF(type=1, A582, A581), , IF(J582&lt;&gt;1, -$D$20, -$P$16 + P582), 2), 0)   )  ) )</f>
        <v>0</v>
      </c>
      <c r="F582" s="231" t="n">
        <f aca="false">IF(J582&lt;&gt;1, "", IF(J581&lt;&gt;0, F581, $K$12))</f>
        <v>1</v>
      </c>
      <c r="G582" s="232" t="str">
        <f aca="false">IF(ISERROR(A582),"",ROUND(G581-E582+D582,2))</f>
        <v/>
      </c>
      <c r="H582" s="237" t="str">
        <f aca="false">IF(G582&gt;0,IFERROR(H581+(H581*($D$16/12)),""),"")</f>
        <v/>
      </c>
      <c r="I582" s="223" t="str">
        <f aca="false">IF(ISERROR(A583),"",12 - MONTH(B582))</f>
        <v/>
      </c>
      <c r="J582" s="224" t="n">
        <f aca="false">K582</f>
        <v>1</v>
      </c>
      <c r="K582" s="225" t="n">
        <f aca="false">_xlfn.IFNA(IF(B582&gt;=$K$11, 1,0),0)</f>
        <v>1</v>
      </c>
      <c r="L582" s="60" t="str">
        <f aca="false">IF(I582=0,1,"")</f>
        <v/>
      </c>
      <c r="P582" s="4"/>
      <c r="V582" s="71"/>
    </row>
    <row r="583" customFormat="false" ht="12.75" hidden="false" customHeight="true" outlineLevel="0" collapsed="false">
      <c r="A583" s="228" t="e">
        <f aca="false">IF(OR(G582="",G582&lt;=0,C582&gt;150),NA(),A582+1)</f>
        <v>#N/A</v>
      </c>
      <c r="B583" s="229" t="str">
        <f aca="false">IF(ISERROR(A583),"",IF($D$9="Annually",EDATE(B582,12),EDATE(B582,1)))</f>
        <v/>
      </c>
      <c r="C583" s="230" t="str">
        <f aca="false">IF(ISERROR(A583),"",C582+IF($D$9="Monthly",1/12,1))</f>
        <v/>
      </c>
      <c r="D583" s="231" t="n">
        <f aca="false">IF(L582&lt;&gt;1, IF(G582&lt;E582,0,D582),IF(L582=1,IFERROR(ROUND(IF($G582 - (E582 * 6) &lt; 0, D582, ($G582 - (E582 * 6)) * $D$8 / 12),2),0) ) )</f>
        <v>0</v>
      </c>
      <c r="E583" s="231" t="n">
        <f aca="false">IF(ISERROR(A583), 0,  MAX(0,   MIN(    ROUND(G582 + D583, 2),    ROUND(FV($S$5, IF(type=1, A583, A582), , IF(J583&lt;&gt;1, -$D$20, -$P$16 + P583), 2), 0)   )  ) )</f>
        <v>0</v>
      </c>
      <c r="F583" s="231" t="n">
        <f aca="false">IF(J583&lt;&gt;1, "", IF(J582&lt;&gt;0, F582, $K$12))</f>
        <v>1</v>
      </c>
      <c r="G583" s="232" t="str">
        <f aca="false">IF(ISERROR(A583),"",ROUND(G582-E583+D583,2))</f>
        <v/>
      </c>
      <c r="H583" s="237" t="str">
        <f aca="false">IF(G583&gt;0,IFERROR(H582+(H582*($D$16/12)),""),"")</f>
        <v/>
      </c>
      <c r="I583" s="223" t="str">
        <f aca="false">IF(ISERROR(A584),"",12 - MONTH(B583))</f>
        <v/>
      </c>
      <c r="J583" s="224" t="n">
        <f aca="false">K583</f>
        <v>1</v>
      </c>
      <c r="K583" s="225" t="n">
        <f aca="false">_xlfn.IFNA(IF(B583&gt;=$K$11, 1,0),0)</f>
        <v>1</v>
      </c>
      <c r="L583" s="60" t="str">
        <f aca="false">IF(I583=0,1,"")</f>
        <v/>
      </c>
      <c r="P583" s="4"/>
      <c r="V583" s="71"/>
    </row>
    <row r="584" customFormat="false" ht="12.75" hidden="false" customHeight="true" outlineLevel="0" collapsed="false">
      <c r="A584" s="228" t="e">
        <f aca="false">IF(OR(G583="",G583&lt;=0,C583&gt;150),NA(),A583+1)</f>
        <v>#N/A</v>
      </c>
      <c r="B584" s="229" t="str">
        <f aca="false">IF(ISERROR(A584),"",IF($D$9="Annually",EDATE(B583,12),EDATE(B583,1)))</f>
        <v/>
      </c>
      <c r="C584" s="230" t="str">
        <f aca="false">IF(ISERROR(A584),"",C583+IF($D$9="Monthly",1/12,1))</f>
        <v/>
      </c>
      <c r="D584" s="231" t="n">
        <f aca="false">IF(L583&lt;&gt;1, IF(G583&lt;E583,0,D583),IF(L583=1,IFERROR(ROUND(IF($G583 - (E583 * 6) &lt; 0, D583, ($G583 - (E583 * 6)) * $D$8 / 12),2),0) ) )</f>
        <v>0</v>
      </c>
      <c r="E584" s="231" t="n">
        <f aca="false">IF(ISERROR(A584), 0,  MAX(0,   MIN(    ROUND(G583 + D584, 2),    ROUND(FV($S$5, IF(type=1, A584, A583), , IF(J584&lt;&gt;1, -$D$20, -$P$16 + P584), 2), 0)   )  ) )</f>
        <v>0</v>
      </c>
      <c r="F584" s="231" t="n">
        <f aca="false">IF(J584&lt;&gt;1, "", IF(J583&lt;&gt;0, F583, $K$12))</f>
        <v>1</v>
      </c>
      <c r="G584" s="232" t="str">
        <f aca="false">IF(ISERROR(A584),"",ROUND(G583-E584+D584,2))</f>
        <v/>
      </c>
      <c r="H584" s="237" t="str">
        <f aca="false">IF(G584&gt;0,IFERROR(H583+(H583*($D$16/12)),""),"")</f>
        <v/>
      </c>
      <c r="I584" s="223" t="str">
        <f aca="false">IF(ISERROR(A585),"",12 - MONTH(B584))</f>
        <v/>
      </c>
      <c r="J584" s="224" t="n">
        <f aca="false">K584</f>
        <v>1</v>
      </c>
      <c r="K584" s="225" t="n">
        <f aca="false">_xlfn.IFNA(IF(B584&gt;=$K$11, 1,0),0)</f>
        <v>1</v>
      </c>
      <c r="L584" s="60" t="str">
        <f aca="false">IF(I584=0,1,"")</f>
        <v/>
      </c>
      <c r="P584" s="4"/>
      <c r="V584" s="71"/>
    </row>
    <row r="585" customFormat="false" ht="12.75" hidden="false" customHeight="true" outlineLevel="0" collapsed="false">
      <c r="A585" s="228" t="e">
        <f aca="false">IF(OR(G584="",G584&lt;=0,C584&gt;150),NA(),A584+1)</f>
        <v>#N/A</v>
      </c>
      <c r="B585" s="229" t="str">
        <f aca="false">IF(ISERROR(A585),"",IF($D$9="Annually",EDATE(B584,12),EDATE(B584,1)))</f>
        <v/>
      </c>
      <c r="C585" s="230" t="str">
        <f aca="false">IF(ISERROR(A585),"",C584+IF($D$9="Monthly",1/12,1))</f>
        <v/>
      </c>
      <c r="D585" s="231" t="n">
        <f aca="false">IF(L584&lt;&gt;1, IF(G584&lt;E584,0,D584),IF(L584=1,IFERROR(ROUND(IF($G584 - (E584 * 6) &lt; 0, D584, ($G584 - (E584 * 6)) * $D$8 / 12),2),0) ) )</f>
        <v>0</v>
      </c>
      <c r="E585" s="231" t="n">
        <f aca="false">IF(ISERROR(A585), 0,  MAX(0,   MIN(    ROUND(G584 + D585, 2),    ROUND(FV($S$5, IF(type=1, A585, A584), , IF(J585&lt;&gt;1, -$D$20, -$P$16 + P585), 2), 0)   )  ) )</f>
        <v>0</v>
      </c>
      <c r="F585" s="231" t="n">
        <f aca="false">IF(J585&lt;&gt;1, "", IF(J584&lt;&gt;0, F584, $K$12))</f>
        <v>1</v>
      </c>
      <c r="G585" s="232" t="str">
        <f aca="false">IF(ISERROR(A585),"",ROUND(G584-E585+D585,2))</f>
        <v/>
      </c>
      <c r="H585" s="237" t="str">
        <f aca="false">IF(G585&gt;0,IFERROR(H584+(H584*($D$16/12)),""),"")</f>
        <v/>
      </c>
      <c r="I585" s="223" t="str">
        <f aca="false">IF(ISERROR(A586),"",12 - MONTH(B585))</f>
        <v/>
      </c>
      <c r="J585" s="224" t="n">
        <f aca="false">K585</f>
        <v>1</v>
      </c>
      <c r="K585" s="225" t="n">
        <f aca="false">_xlfn.IFNA(IF(B585&gt;=$K$11, 1,0),0)</f>
        <v>1</v>
      </c>
      <c r="L585" s="60" t="str">
        <f aca="false">IF(I585=0,1,"")</f>
        <v/>
      </c>
      <c r="P585" s="4"/>
      <c r="V585" s="71"/>
    </row>
    <row r="586" customFormat="false" ht="12.75" hidden="false" customHeight="true" outlineLevel="0" collapsed="false">
      <c r="A586" s="228" t="e">
        <f aca="false">IF(OR(G585="",G585&lt;=0,C585&gt;150),NA(),A585+1)</f>
        <v>#N/A</v>
      </c>
      <c r="B586" s="229" t="str">
        <f aca="false">IF(ISERROR(A586),"",IF($D$9="Annually",EDATE(B585,12),EDATE(B585,1)))</f>
        <v/>
      </c>
      <c r="C586" s="230" t="str">
        <f aca="false">IF(ISERROR(A586),"",C585+IF($D$9="Monthly",1/12,1))</f>
        <v/>
      </c>
      <c r="D586" s="231" t="n">
        <f aca="false">IF(L585&lt;&gt;1, IF(G585&lt;E585,0,D585),IF(L585=1,IFERROR(ROUND(IF($G585 - (E585 * 6) &lt; 0, D585, ($G585 - (E585 * 6)) * $D$8 / 12),2),0) ) )</f>
        <v>0</v>
      </c>
      <c r="E586" s="231" t="n">
        <f aca="false">IF(ISERROR(A586), 0,  MAX(0,   MIN(    ROUND(G585 + D586, 2),    ROUND(FV($S$5, IF(type=1, A586, A585), , IF(J586&lt;&gt;1, -$D$20, -$P$16 + P586), 2), 0)   )  ) )</f>
        <v>0</v>
      </c>
      <c r="F586" s="231" t="n">
        <f aca="false">IF(J586&lt;&gt;1, "", IF(J585&lt;&gt;0, F585, $K$12))</f>
        <v>1</v>
      </c>
      <c r="G586" s="232" t="str">
        <f aca="false">IF(ISERROR(A586),"",ROUND(G585-E586+D586,2))</f>
        <v/>
      </c>
      <c r="H586" s="237" t="str">
        <f aca="false">IF(G586&gt;0,IFERROR(H585+(H585*($D$16/12)),""),"")</f>
        <v/>
      </c>
      <c r="I586" s="223" t="str">
        <f aca="false">IF(ISERROR(A587),"",12 - MONTH(B586))</f>
        <v/>
      </c>
      <c r="J586" s="224" t="n">
        <f aca="false">K586</f>
        <v>1</v>
      </c>
      <c r="K586" s="225" t="n">
        <f aca="false">_xlfn.IFNA(IF(B586&gt;=$K$11, 1,0),0)</f>
        <v>1</v>
      </c>
      <c r="L586" s="60" t="str">
        <f aca="false">IF(I586=0,1,"")</f>
        <v/>
      </c>
      <c r="P586" s="4"/>
      <c r="V586" s="71"/>
    </row>
    <row r="587" customFormat="false" ht="12.75" hidden="false" customHeight="true" outlineLevel="0" collapsed="false">
      <c r="A587" s="228" t="e">
        <f aca="false">IF(OR(G586="",G586&lt;=0,C586&gt;150),NA(),A586+1)</f>
        <v>#N/A</v>
      </c>
      <c r="B587" s="229" t="str">
        <f aca="false">IF(ISERROR(A587),"",IF($D$9="Annually",EDATE(B586,12),EDATE(B586,1)))</f>
        <v/>
      </c>
      <c r="C587" s="230" t="str">
        <f aca="false">IF(ISERROR(A587),"",C586+IF($D$9="Monthly",1/12,1))</f>
        <v/>
      </c>
      <c r="D587" s="231" t="n">
        <f aca="false">IF(L586&lt;&gt;1, IF(G586&lt;E586,0,D586),IF(L586=1,IFERROR(ROUND(IF($G586 - (E586 * 6) &lt; 0, D586, ($G586 - (E586 * 6)) * $D$8 / 12),2),0) ) )</f>
        <v>0</v>
      </c>
      <c r="E587" s="231" t="n">
        <f aca="false">IF(ISERROR(A587), 0,  MAX(0,   MIN(    ROUND(G586 + D587, 2),    ROUND(FV($S$5, IF(type=1, A587, A586), , IF(J587&lt;&gt;1, -$D$20, -$P$16 + P587), 2), 0)   )  ) )</f>
        <v>0</v>
      </c>
      <c r="F587" s="231" t="n">
        <f aca="false">IF(J587&lt;&gt;1, "", IF(J586&lt;&gt;0, F586, $K$12))</f>
        <v>1</v>
      </c>
      <c r="G587" s="232" t="str">
        <f aca="false">IF(ISERROR(A587),"",ROUND(G586-E587+D587,2))</f>
        <v/>
      </c>
      <c r="H587" s="237" t="str">
        <f aca="false">IF(G587&gt;0,IFERROR(H586+(H586*($D$16/12)),""),"")</f>
        <v/>
      </c>
      <c r="I587" s="223" t="str">
        <f aca="false">IF(ISERROR(A588),"",12 - MONTH(B587))</f>
        <v/>
      </c>
      <c r="J587" s="224" t="n">
        <f aca="false">K587</f>
        <v>1</v>
      </c>
      <c r="K587" s="225" t="n">
        <f aca="false">_xlfn.IFNA(IF(B587&gt;=$K$11, 1,0),0)</f>
        <v>1</v>
      </c>
      <c r="L587" s="60" t="str">
        <f aca="false">IF(I587=0,1,"")</f>
        <v/>
      </c>
      <c r="P587" s="4"/>
      <c r="V587" s="71"/>
    </row>
    <row r="588" customFormat="false" ht="12.75" hidden="false" customHeight="true" outlineLevel="0" collapsed="false">
      <c r="A588" s="228" t="e">
        <f aca="false">IF(OR(G587="",G587&lt;=0,C587&gt;150),NA(),A587+1)</f>
        <v>#N/A</v>
      </c>
      <c r="B588" s="229" t="str">
        <f aca="false">IF(ISERROR(A588),"",IF($D$9="Annually",EDATE(B587,12),EDATE(B587,1)))</f>
        <v/>
      </c>
      <c r="C588" s="230" t="str">
        <f aca="false">IF(ISERROR(A588),"",C587+IF($D$9="Monthly",1/12,1))</f>
        <v/>
      </c>
      <c r="D588" s="231" t="n">
        <f aca="false">IF(L587&lt;&gt;1, IF(G587&lt;E587,0,D587),IF(L587=1,IFERROR(ROUND(IF($G587 - (E587 * 6) &lt; 0, D587, ($G587 - (E587 * 6)) * $D$8 / 12),2),0) ) )</f>
        <v>0</v>
      </c>
      <c r="E588" s="231" t="n">
        <f aca="false">IF(ISERROR(A588), 0,  MAX(0,   MIN(    ROUND(G587 + D588, 2),    ROUND(FV($S$5, IF(type=1, A588, A587), , IF(J588&lt;&gt;1, -$D$20, -$P$16 + P588), 2), 0)   )  ) )</f>
        <v>0</v>
      </c>
      <c r="F588" s="231" t="n">
        <f aca="false">IF(J588&lt;&gt;1, "", IF(J587&lt;&gt;0, F587, $K$12))</f>
        <v>1</v>
      </c>
      <c r="G588" s="232" t="str">
        <f aca="false">IF(ISERROR(A588),"",ROUND(G587-E588+D588,2))</f>
        <v/>
      </c>
      <c r="H588" s="237" t="str">
        <f aca="false">IF(G588&gt;0,IFERROR(H587+(H587*($D$16/12)),""),"")</f>
        <v/>
      </c>
      <c r="I588" s="223" t="str">
        <f aca="false">IF(ISERROR(A589),"",12 - MONTH(B588))</f>
        <v/>
      </c>
      <c r="J588" s="224" t="n">
        <f aca="false">K588</f>
        <v>1</v>
      </c>
      <c r="K588" s="225" t="n">
        <f aca="false">_xlfn.IFNA(IF(B588&gt;=$K$11, 1,0),0)</f>
        <v>1</v>
      </c>
      <c r="L588" s="60" t="str">
        <f aca="false">IF(I588=0,1,"")</f>
        <v/>
      </c>
      <c r="P588" s="4"/>
      <c r="V588" s="71"/>
    </row>
    <row r="589" customFormat="false" ht="12.75" hidden="false" customHeight="true" outlineLevel="0" collapsed="false">
      <c r="A589" s="228" t="e">
        <f aca="false">IF(OR(G588="",G588&lt;=0,C588&gt;150),NA(),A588+1)</f>
        <v>#N/A</v>
      </c>
      <c r="B589" s="229" t="str">
        <f aca="false">IF(ISERROR(A589),"",IF($D$9="Annually",EDATE(B588,12),EDATE(B588,1)))</f>
        <v/>
      </c>
      <c r="C589" s="230" t="str">
        <f aca="false">IF(ISERROR(A589),"",C588+IF($D$9="Monthly",1/12,1))</f>
        <v/>
      </c>
      <c r="D589" s="231" t="n">
        <f aca="false">IF(L588&lt;&gt;1, IF(G588&lt;E588,0,D588),IF(L588=1,IFERROR(ROUND(IF($G588 - (E588 * 6) &lt; 0, D588, ($G588 - (E588 * 6)) * $D$8 / 12),2),0) ) )</f>
        <v>0</v>
      </c>
      <c r="E589" s="231" t="n">
        <f aca="false">IF(ISERROR(A589), 0,  MAX(0,   MIN(    ROUND(G588 + D589, 2),    ROUND(FV($S$5, IF(type=1, A589, A588), , IF(J589&lt;&gt;1, -$D$20, -$P$16 + P589), 2), 0)   )  ) )</f>
        <v>0</v>
      </c>
      <c r="F589" s="231" t="n">
        <f aca="false">IF(J589&lt;&gt;1, "", IF(J588&lt;&gt;0, F588, $K$12))</f>
        <v>1</v>
      </c>
      <c r="G589" s="232" t="str">
        <f aca="false">IF(ISERROR(A589),"",ROUND(G588-E589+D589,2))</f>
        <v/>
      </c>
      <c r="H589" s="237" t="str">
        <f aca="false">IF(G589&gt;0,IFERROR(H588+(H588*($D$16/12)),""),"")</f>
        <v/>
      </c>
      <c r="I589" s="223" t="str">
        <f aca="false">IF(ISERROR(A590),"",12 - MONTH(B589))</f>
        <v/>
      </c>
      <c r="J589" s="224" t="n">
        <f aca="false">K589</f>
        <v>1</v>
      </c>
      <c r="K589" s="225" t="n">
        <f aca="false">_xlfn.IFNA(IF(B589&gt;=$K$11, 1,0),0)</f>
        <v>1</v>
      </c>
      <c r="L589" s="60" t="str">
        <f aca="false">IF(I589=0,1,"")</f>
        <v/>
      </c>
      <c r="P589" s="4"/>
      <c r="V589" s="71"/>
    </row>
    <row r="590" customFormat="false" ht="12.75" hidden="false" customHeight="true" outlineLevel="0" collapsed="false">
      <c r="A590" s="228" t="e">
        <f aca="false">IF(OR(G589="",G589&lt;=0,C589&gt;150),NA(),A589+1)</f>
        <v>#N/A</v>
      </c>
      <c r="B590" s="229" t="str">
        <f aca="false">IF(ISERROR(A590),"",IF($D$9="Annually",EDATE(B589,12),EDATE(B589,1)))</f>
        <v/>
      </c>
      <c r="C590" s="230" t="str">
        <f aca="false">IF(ISERROR(A590),"",C589+IF($D$9="Monthly",1/12,1))</f>
        <v/>
      </c>
      <c r="D590" s="231" t="n">
        <f aca="false">IF(L589&lt;&gt;1, IF(G589&lt;E589,0,D589),IF(L589=1,IFERROR(ROUND(IF($G589 - (E589 * 6) &lt; 0, D589, ($G589 - (E589 * 6)) * $D$8 / 12),2),0) ) )</f>
        <v>0</v>
      </c>
      <c r="E590" s="231" t="n">
        <f aca="false">IF(ISERROR(A590), 0,  MAX(0,   MIN(    ROUND(G589 + D590, 2),    ROUND(FV($S$5, IF(type=1, A590, A589), , IF(J590&lt;&gt;1, -$D$20, -$P$16 + P590), 2), 0)   )  ) )</f>
        <v>0</v>
      </c>
      <c r="F590" s="231" t="n">
        <f aca="false">IF(J590&lt;&gt;1, "", IF(J589&lt;&gt;0, F589, $K$12))</f>
        <v>1</v>
      </c>
      <c r="G590" s="232" t="str">
        <f aca="false">IF(ISERROR(A590),"",ROUND(G589-E590+D590,2))</f>
        <v/>
      </c>
      <c r="H590" s="237" t="str">
        <f aca="false">IF(G590&gt;0,IFERROR(H589+(H589*($D$16/12)),""),"")</f>
        <v/>
      </c>
      <c r="I590" s="223" t="str">
        <f aca="false">IF(ISERROR(A591),"",12 - MONTH(B590))</f>
        <v/>
      </c>
      <c r="J590" s="224" t="n">
        <f aca="false">K590</f>
        <v>1</v>
      </c>
      <c r="K590" s="225" t="n">
        <f aca="false">_xlfn.IFNA(IF(B590&gt;=$K$11, 1,0),0)</f>
        <v>1</v>
      </c>
      <c r="L590" s="60" t="str">
        <f aca="false">IF(I590=0,1,"")</f>
        <v/>
      </c>
      <c r="P590" s="4"/>
      <c r="V590" s="71"/>
    </row>
    <row r="591" customFormat="false" ht="12.75" hidden="false" customHeight="true" outlineLevel="0" collapsed="false">
      <c r="A591" s="228" t="e">
        <f aca="false">IF(OR(G590="",G590&lt;=0,C590&gt;150),NA(),A590+1)</f>
        <v>#N/A</v>
      </c>
      <c r="B591" s="229" t="str">
        <f aca="false">IF(ISERROR(A591),"",IF($D$9="Annually",EDATE(B590,12),EDATE(B590,1)))</f>
        <v/>
      </c>
      <c r="C591" s="230" t="str">
        <f aca="false">IF(ISERROR(A591),"",C590+IF($D$9="Monthly",1/12,1))</f>
        <v/>
      </c>
      <c r="D591" s="231" t="n">
        <f aca="false">IF(L590&lt;&gt;1, IF(G590&lt;E590,0,D590),IF(L590=1,IFERROR(ROUND(IF($G590 - (E590 * 6) &lt; 0, D590, ($G590 - (E590 * 6)) * $D$8 / 12),2),0) ) )</f>
        <v>0</v>
      </c>
      <c r="E591" s="231" t="n">
        <f aca="false">IF(ISERROR(A591), 0,  MAX(0,   MIN(    ROUND(G590 + D591, 2),    ROUND(FV($S$5, IF(type=1, A591, A590), , IF(J591&lt;&gt;1, -$D$20, -$P$16 + P591), 2), 0)   )  ) )</f>
        <v>0</v>
      </c>
      <c r="F591" s="231" t="n">
        <f aca="false">IF(J591&lt;&gt;1, "", IF(J590&lt;&gt;0, F590, $K$12))</f>
        <v>1</v>
      </c>
      <c r="G591" s="232" t="str">
        <f aca="false">IF(ISERROR(A591),"",ROUND(G590-E591+D591,2))</f>
        <v/>
      </c>
      <c r="H591" s="237" t="str">
        <f aca="false">IF(G591&gt;0,IFERROR(H590+(H590*($D$16/12)),""),"")</f>
        <v/>
      </c>
      <c r="I591" s="223" t="str">
        <f aca="false">IF(ISERROR(A592),"",12 - MONTH(B591))</f>
        <v/>
      </c>
      <c r="J591" s="224" t="n">
        <f aca="false">K591</f>
        <v>1</v>
      </c>
      <c r="K591" s="225" t="n">
        <f aca="false">_xlfn.IFNA(IF(B591&gt;=$K$11, 1,0),0)</f>
        <v>1</v>
      </c>
      <c r="L591" s="60" t="str">
        <f aca="false">IF(I591=0,1,"")</f>
        <v/>
      </c>
      <c r="P591" s="4"/>
      <c r="V591" s="71"/>
    </row>
    <row r="592" customFormat="false" ht="12.75" hidden="false" customHeight="true" outlineLevel="0" collapsed="false">
      <c r="A592" s="228" t="e">
        <f aca="false">IF(OR(G591="",G591&lt;=0,C591&gt;150),NA(),A591+1)</f>
        <v>#N/A</v>
      </c>
      <c r="B592" s="229" t="str">
        <f aca="false">IF(ISERROR(A592),"",IF($D$9="Annually",EDATE(B591,12),EDATE(B591,1)))</f>
        <v/>
      </c>
      <c r="C592" s="230" t="str">
        <f aca="false">IF(ISERROR(A592),"",C591+IF($D$9="Monthly",1/12,1))</f>
        <v/>
      </c>
      <c r="D592" s="231" t="n">
        <f aca="false">IF(L591&lt;&gt;1, IF(G591&lt;E591,0,D591),IF(L591=1,IFERROR(ROUND(IF($G591 - (E591 * 6) &lt; 0, D591, ($G591 - (E591 * 6)) * $D$8 / 12),2),0) ) )</f>
        <v>0</v>
      </c>
      <c r="E592" s="231" t="n">
        <f aca="false">IF(ISERROR(A592), 0,  MAX(0,   MIN(    ROUND(G591 + D592, 2),    ROUND(FV($S$5, IF(type=1, A592, A591), , IF(J592&lt;&gt;1, -$D$20, -$P$16 + P592), 2), 0)   )  ) )</f>
        <v>0</v>
      </c>
      <c r="F592" s="231" t="n">
        <f aca="false">IF(J592&lt;&gt;1, "", IF(J591&lt;&gt;0, F591, $K$12))</f>
        <v>1</v>
      </c>
      <c r="G592" s="232" t="str">
        <f aca="false">IF(ISERROR(A592),"",ROUND(G591-E592+D592,2))</f>
        <v/>
      </c>
      <c r="H592" s="237" t="str">
        <f aca="false">IF(G592&gt;0,IFERROR(H591+(H591*($D$16/12)),""),"")</f>
        <v/>
      </c>
      <c r="I592" s="223" t="str">
        <f aca="false">IF(ISERROR(A593),"",12 - MONTH(B592))</f>
        <v/>
      </c>
      <c r="J592" s="224" t="n">
        <f aca="false">K592</f>
        <v>1</v>
      </c>
      <c r="K592" s="225" t="n">
        <f aca="false">_xlfn.IFNA(IF(B592&gt;=$K$11, 1,0),0)</f>
        <v>1</v>
      </c>
      <c r="L592" s="60" t="str">
        <f aca="false">IF(I592=0,1,"")</f>
        <v/>
      </c>
      <c r="P592" s="4"/>
      <c r="V592" s="71"/>
    </row>
    <row r="593" customFormat="false" ht="12.75" hidden="false" customHeight="true" outlineLevel="0" collapsed="false">
      <c r="A593" s="228" t="e">
        <f aca="false">IF(OR(G592="",G592&lt;=0,C592&gt;150),NA(),A592+1)</f>
        <v>#N/A</v>
      </c>
      <c r="B593" s="229" t="str">
        <f aca="false">IF(ISERROR(A593),"",IF($D$9="Annually",EDATE(B592,12),EDATE(B592,1)))</f>
        <v/>
      </c>
      <c r="C593" s="230" t="str">
        <f aca="false">IF(ISERROR(A593),"",C592+IF($D$9="Monthly",1/12,1))</f>
        <v/>
      </c>
      <c r="D593" s="231" t="n">
        <f aca="false">IF(L592&lt;&gt;1, IF(G592&lt;E592,0,D592),IF(L592=1,IFERROR(ROUND(IF($G592 - (E592 * 6) &lt; 0, D592, ($G592 - (E592 * 6)) * $D$8 / 12),2),0) ) )</f>
        <v>0</v>
      </c>
      <c r="E593" s="231" t="n">
        <f aca="false">IF(ISERROR(A593), 0,  MAX(0,   MIN(    ROUND(G592 + D593, 2),    ROUND(FV($S$5, IF(type=1, A593, A592), , IF(J593&lt;&gt;1, -$D$20, -$P$16 + P593), 2), 0)   )  ) )</f>
        <v>0</v>
      </c>
      <c r="F593" s="231" t="n">
        <f aca="false">IF(J593&lt;&gt;1, "", IF(J592&lt;&gt;0, F592, $K$12))</f>
        <v>1</v>
      </c>
      <c r="G593" s="232" t="str">
        <f aca="false">IF(ISERROR(A593),"",ROUND(G592-E593+D593,2))</f>
        <v/>
      </c>
      <c r="H593" s="237" t="str">
        <f aca="false">IF(G593&gt;0,IFERROR(H592+(H592*($D$16/12)),""),"")</f>
        <v/>
      </c>
      <c r="I593" s="223" t="str">
        <f aca="false">IF(ISERROR(A594),"",12 - MONTH(B593))</f>
        <v/>
      </c>
      <c r="J593" s="224" t="n">
        <f aca="false">K593</f>
        <v>1</v>
      </c>
      <c r="K593" s="225" t="n">
        <f aca="false">_xlfn.IFNA(IF(B593&gt;=$K$11, 1,0),0)</f>
        <v>1</v>
      </c>
      <c r="L593" s="60" t="str">
        <f aca="false">IF(I593=0,1,"")</f>
        <v/>
      </c>
      <c r="P593" s="4"/>
      <c r="V593" s="71"/>
    </row>
    <row r="594" customFormat="false" ht="12.75" hidden="false" customHeight="true" outlineLevel="0" collapsed="false">
      <c r="A594" s="228" t="e">
        <f aca="false">IF(OR(G593="",G593&lt;=0,C593&gt;150),NA(),A593+1)</f>
        <v>#N/A</v>
      </c>
      <c r="B594" s="229" t="str">
        <f aca="false">IF(ISERROR(A594),"",IF($D$9="Annually",EDATE(B593,12),EDATE(B593,1)))</f>
        <v/>
      </c>
      <c r="C594" s="230" t="str">
        <f aca="false">IF(ISERROR(A594),"",C593+IF($D$9="Monthly",1/12,1))</f>
        <v/>
      </c>
      <c r="D594" s="231" t="n">
        <f aca="false">IF(L593&lt;&gt;1, IF(G593&lt;E593,0,D593),IF(L593=1,IFERROR(ROUND(IF($G593 - (E593 * 6) &lt; 0, D593, ($G593 - (E593 * 6)) * $D$8 / 12),2),0) ) )</f>
        <v>0</v>
      </c>
      <c r="E594" s="231" t="n">
        <f aca="false">IF(ISERROR(A594), 0,  MAX(0,   MIN(    ROUND(G593 + D594, 2),    ROUND(FV($S$5, IF(type=1, A594, A593), , IF(J594&lt;&gt;1, -$D$20, -$P$16 + P594), 2), 0)   )  ) )</f>
        <v>0</v>
      </c>
      <c r="F594" s="231" t="n">
        <f aca="false">IF(J594&lt;&gt;1, "", IF(J593&lt;&gt;0, F593, $K$12))</f>
        <v>1</v>
      </c>
      <c r="G594" s="232" t="str">
        <f aca="false">IF(ISERROR(A594),"",ROUND(G593-E594+D594,2))</f>
        <v/>
      </c>
      <c r="H594" s="237" t="str">
        <f aca="false">IF(G594&gt;0,IFERROR(H593+(H593*($D$16/12)),""),"")</f>
        <v/>
      </c>
      <c r="I594" s="223" t="str">
        <f aca="false">IF(ISERROR(A595),"",12 - MONTH(B594))</f>
        <v/>
      </c>
      <c r="J594" s="224" t="n">
        <f aca="false">K594</f>
        <v>1</v>
      </c>
      <c r="K594" s="225" t="n">
        <f aca="false">_xlfn.IFNA(IF(B594&gt;=$K$11, 1,0),0)</f>
        <v>1</v>
      </c>
      <c r="L594" s="60" t="str">
        <f aca="false">IF(I594=0,1,"")</f>
        <v/>
      </c>
      <c r="P594" s="4"/>
      <c r="V594" s="71"/>
    </row>
    <row r="595" customFormat="false" ht="12.75" hidden="false" customHeight="true" outlineLevel="0" collapsed="false">
      <c r="A595" s="228" t="e">
        <f aca="false">IF(OR(G594="",G594&lt;=0,C594&gt;150),NA(),A594+1)</f>
        <v>#N/A</v>
      </c>
      <c r="B595" s="229" t="str">
        <f aca="false">IF(ISERROR(A595),"",IF($D$9="Annually",EDATE(B594,12),EDATE(B594,1)))</f>
        <v/>
      </c>
      <c r="C595" s="230" t="str">
        <f aca="false">IF(ISERROR(A595),"",C594+IF($D$9="Monthly",1/12,1))</f>
        <v/>
      </c>
      <c r="D595" s="231" t="n">
        <f aca="false">IF(L594&lt;&gt;1, IF(G594&lt;E594,0,D594),IF(L594=1,IFERROR(ROUND(IF($G594 - (E594 * 6) &lt; 0, D594, ($G594 - (E594 * 6)) * $D$8 / 12),2),0) ) )</f>
        <v>0</v>
      </c>
      <c r="E595" s="231" t="n">
        <f aca="false">IF(ISERROR(A595), 0,  MAX(0,   MIN(    ROUND(G594 + D595, 2),    ROUND(FV($S$5, IF(type=1, A595, A594), , IF(J595&lt;&gt;1, -$D$20, -$P$16 + P595), 2), 0)   )  ) )</f>
        <v>0</v>
      </c>
      <c r="F595" s="231" t="n">
        <f aca="false">IF(J595&lt;&gt;1, "", IF(J594&lt;&gt;0, F594, $K$12))</f>
        <v>1</v>
      </c>
      <c r="G595" s="232" t="str">
        <f aca="false">IF(ISERROR(A595),"",ROUND(G594-E595+D595,2))</f>
        <v/>
      </c>
      <c r="H595" s="237" t="str">
        <f aca="false">IF(G595&gt;0,IFERROR(H594+(H594*($D$16/12)),""),"")</f>
        <v/>
      </c>
      <c r="I595" s="223" t="str">
        <f aca="false">IF(ISERROR(A596),"",12 - MONTH(B595))</f>
        <v/>
      </c>
      <c r="J595" s="224" t="n">
        <f aca="false">K595</f>
        <v>1</v>
      </c>
      <c r="K595" s="225" t="n">
        <f aca="false">_xlfn.IFNA(IF(B595&gt;=$K$11, 1,0),0)</f>
        <v>1</v>
      </c>
      <c r="L595" s="60" t="str">
        <f aca="false">IF(I595=0,1,"")</f>
        <v/>
      </c>
      <c r="P595" s="4"/>
      <c r="V595" s="71"/>
    </row>
    <row r="596" customFormat="false" ht="12.75" hidden="false" customHeight="true" outlineLevel="0" collapsed="false">
      <c r="A596" s="228" t="e">
        <f aca="false">IF(OR(G595="",G595&lt;=0,C595&gt;150),NA(),A595+1)</f>
        <v>#N/A</v>
      </c>
      <c r="B596" s="229" t="str">
        <f aca="false">IF(ISERROR(A596),"",IF($D$9="Annually",EDATE(B595,12),EDATE(B595,1)))</f>
        <v/>
      </c>
      <c r="C596" s="230" t="str">
        <f aca="false">IF(ISERROR(A596),"",C595+IF($D$9="Monthly",1/12,1))</f>
        <v/>
      </c>
      <c r="D596" s="231" t="n">
        <f aca="false">IF(L595&lt;&gt;1, IF(G595&lt;E595,0,D595),IF(L595=1,IFERROR(ROUND(IF($G595 - (E595 * 6) &lt; 0, D595, ($G595 - (E595 * 6)) * $D$8 / 12),2),0) ) )</f>
        <v>0</v>
      </c>
      <c r="E596" s="231" t="n">
        <f aca="false">IF(ISERROR(A596), 0,  MAX(0,   MIN(    ROUND(G595 + D596, 2),    ROUND(FV($S$5, IF(type=1, A596, A595), , IF(J596&lt;&gt;1, -$D$20, -$P$16 + P596), 2), 0)   )  ) )</f>
        <v>0</v>
      </c>
      <c r="F596" s="231" t="n">
        <f aca="false">IF(J596&lt;&gt;1, "", IF(J595&lt;&gt;0, F595, $K$12))</f>
        <v>1</v>
      </c>
      <c r="G596" s="232" t="str">
        <f aca="false">IF(ISERROR(A596),"",ROUND(G595-E596+D596,2))</f>
        <v/>
      </c>
      <c r="H596" s="237" t="str">
        <f aca="false">IF(G596&gt;0,IFERROR(H595+(H595*($D$16/12)),""),"")</f>
        <v/>
      </c>
      <c r="I596" s="223" t="str">
        <f aca="false">IF(ISERROR(A597),"",12 - MONTH(B596))</f>
        <v/>
      </c>
      <c r="J596" s="224" t="n">
        <f aca="false">K596</f>
        <v>1</v>
      </c>
      <c r="K596" s="225" t="n">
        <f aca="false">_xlfn.IFNA(IF(B596&gt;=$K$11, 1,0),0)</f>
        <v>1</v>
      </c>
      <c r="L596" s="60" t="str">
        <f aca="false">IF(I596=0,1,"")</f>
        <v/>
      </c>
      <c r="P596" s="4"/>
      <c r="V596" s="71"/>
    </row>
    <row r="597" customFormat="false" ht="12.75" hidden="false" customHeight="true" outlineLevel="0" collapsed="false">
      <c r="A597" s="228" t="e">
        <f aca="false">IF(OR(G596="",G596&lt;=0,C596&gt;150),NA(),A596+1)</f>
        <v>#N/A</v>
      </c>
      <c r="B597" s="229" t="str">
        <f aca="false">IF(ISERROR(A597),"",IF($D$9="Annually",EDATE(B596,12),EDATE(B596,1)))</f>
        <v/>
      </c>
      <c r="C597" s="230" t="str">
        <f aca="false">IF(ISERROR(A597),"",C596+IF($D$9="Monthly",1/12,1))</f>
        <v/>
      </c>
      <c r="D597" s="231" t="n">
        <f aca="false">IF(L596&lt;&gt;1, IF(G596&lt;E596,0,D596),IF(L596=1,IFERROR(ROUND(IF($G596 - (E596 * 6) &lt; 0, D596, ($G596 - (E596 * 6)) * $D$8 / 12),2),0) ) )</f>
        <v>0</v>
      </c>
      <c r="E597" s="231" t="n">
        <f aca="false">IF(ISERROR(A597), 0,  MAX(0,   MIN(    ROUND(G596 + D597, 2),    ROUND(FV($S$5, IF(type=1, A597, A596), , IF(J597&lt;&gt;1, -$D$20, -$P$16 + P597), 2), 0)   )  ) )</f>
        <v>0</v>
      </c>
      <c r="F597" s="231" t="n">
        <f aca="false">IF(J597&lt;&gt;1, "", IF(J596&lt;&gt;0, F596, $K$12))</f>
        <v>1</v>
      </c>
      <c r="G597" s="232" t="str">
        <f aca="false">IF(ISERROR(A597),"",ROUND(G596-E597+D597,2))</f>
        <v/>
      </c>
      <c r="H597" s="237" t="str">
        <f aca="false">IF(G597&gt;0,IFERROR(H596+(H596*($D$16/12)),""),"")</f>
        <v/>
      </c>
      <c r="I597" s="223" t="str">
        <f aca="false">IF(ISERROR(A598),"",12 - MONTH(B597))</f>
        <v/>
      </c>
      <c r="J597" s="224" t="n">
        <f aca="false">K597</f>
        <v>1</v>
      </c>
      <c r="K597" s="225" t="n">
        <f aca="false">_xlfn.IFNA(IF(B597&gt;=$K$11, 1,0),0)</f>
        <v>1</v>
      </c>
      <c r="L597" s="60" t="str">
        <f aca="false">IF(I597=0,1,"")</f>
        <v/>
      </c>
      <c r="P597" s="4"/>
      <c r="V597" s="71"/>
    </row>
    <row r="598" customFormat="false" ht="12.75" hidden="false" customHeight="true" outlineLevel="0" collapsed="false">
      <c r="A598" s="228" t="e">
        <f aca="false">IF(OR(G597="",G597&lt;=0,C597&gt;150),NA(),A597+1)</f>
        <v>#N/A</v>
      </c>
      <c r="B598" s="229" t="str">
        <f aca="false">IF(ISERROR(A598),"",IF($D$9="Annually",EDATE(B597,12),EDATE(B597,1)))</f>
        <v/>
      </c>
      <c r="C598" s="230" t="str">
        <f aca="false">IF(ISERROR(A598),"",C597+IF($D$9="Monthly",1/12,1))</f>
        <v/>
      </c>
      <c r="D598" s="231" t="n">
        <f aca="false">IF(L597&lt;&gt;1, IF(G597&lt;E597,0,D597),IF(L597=1,IFERROR(ROUND(IF($G597 - (E597 * 6) &lt; 0, D597, ($G597 - (E597 * 6)) * $D$8 / 12),2),0) ) )</f>
        <v>0</v>
      </c>
      <c r="E598" s="231" t="n">
        <f aca="false">IF(ISERROR(A598), 0,  MAX(0,   MIN(    ROUND(G597 + D598, 2),    ROUND(FV($S$5, IF(type=1, A598, A597), , IF(J598&lt;&gt;1, -$D$20, -$P$16 + P598), 2), 0)   )  ) )</f>
        <v>0</v>
      </c>
      <c r="F598" s="231" t="n">
        <f aca="false">IF(J598&lt;&gt;1, "", IF(J597&lt;&gt;0, F597, $K$12))</f>
        <v>1</v>
      </c>
      <c r="G598" s="232" t="str">
        <f aca="false">IF(ISERROR(A598),"",ROUND(G597-E598+D598,2))</f>
        <v/>
      </c>
      <c r="H598" s="237" t="str">
        <f aca="false">IF(G598&gt;0,IFERROR(H597+(H597*($D$16/12)),""),"")</f>
        <v/>
      </c>
      <c r="I598" s="223" t="str">
        <f aca="false">IF(ISERROR(A599),"",12 - MONTH(B598))</f>
        <v/>
      </c>
      <c r="J598" s="224" t="n">
        <f aca="false">K598</f>
        <v>1</v>
      </c>
      <c r="K598" s="225" t="n">
        <f aca="false">_xlfn.IFNA(IF(B598&gt;=$K$11, 1,0),0)</f>
        <v>1</v>
      </c>
      <c r="L598" s="60" t="str">
        <f aca="false">IF(I598=0,1,"")</f>
        <v/>
      </c>
      <c r="P598" s="4"/>
      <c r="V598" s="71"/>
    </row>
    <row r="599" customFormat="false" ht="12.75" hidden="false" customHeight="true" outlineLevel="0" collapsed="false">
      <c r="A599" s="228" t="e">
        <f aca="false">IF(OR(G598="",G598&lt;=0,C598&gt;150),NA(),A598+1)</f>
        <v>#N/A</v>
      </c>
      <c r="B599" s="229" t="str">
        <f aca="false">IF(ISERROR(A599),"",IF($D$9="Annually",EDATE(B598,12),EDATE(B598,1)))</f>
        <v/>
      </c>
      <c r="C599" s="230" t="str">
        <f aca="false">IF(ISERROR(A599),"",C598+IF($D$9="Monthly",1/12,1))</f>
        <v/>
      </c>
      <c r="D599" s="231" t="n">
        <f aca="false">IF(L598&lt;&gt;1, IF(G598&lt;E598,0,D598),IF(L598=1,IFERROR(ROUND(IF($G598 - (E598 * 6) &lt; 0, D598, ($G598 - (E598 * 6)) * $D$8 / 12),2),0) ) )</f>
        <v>0</v>
      </c>
      <c r="E599" s="231" t="n">
        <f aca="false">IF(ISERROR(A599), 0,  MAX(0,   MIN(    ROUND(G598 + D599, 2),    ROUND(FV($S$5, IF(type=1, A599, A598), , IF(J599&lt;&gt;1, -$D$20, -$P$16 + P599), 2), 0)   )  ) )</f>
        <v>0</v>
      </c>
      <c r="F599" s="231" t="n">
        <f aca="false">IF(J599&lt;&gt;1, "", IF(J598&lt;&gt;0, F598, $K$12))</f>
        <v>1</v>
      </c>
      <c r="G599" s="232" t="str">
        <f aca="false">IF(ISERROR(A599),"",ROUND(G598-E599+D599,2))</f>
        <v/>
      </c>
      <c r="H599" s="237" t="str">
        <f aca="false">IF(G599&gt;0,IFERROR(H598+(H598*($D$16/12)),""),"")</f>
        <v/>
      </c>
      <c r="I599" s="223" t="str">
        <f aca="false">IF(ISERROR(A600),"",12 - MONTH(B599))</f>
        <v/>
      </c>
      <c r="J599" s="224" t="n">
        <f aca="false">K599</f>
        <v>1</v>
      </c>
      <c r="K599" s="225" t="n">
        <f aca="false">_xlfn.IFNA(IF(B599&gt;=$K$11, 1,0),0)</f>
        <v>1</v>
      </c>
      <c r="L599" s="60" t="str">
        <f aca="false">IF(I599=0,1,"")</f>
        <v/>
      </c>
      <c r="P599" s="4"/>
      <c r="V599" s="71"/>
    </row>
    <row r="600" customFormat="false" ht="12.75" hidden="false" customHeight="true" outlineLevel="0" collapsed="false">
      <c r="A600" s="228" t="e">
        <f aca="false">IF(OR(G599="",G599&lt;=0,C599&gt;150),NA(),A599+1)</f>
        <v>#N/A</v>
      </c>
      <c r="B600" s="229" t="str">
        <f aca="false">IF(ISERROR(A600),"",IF($D$9="Annually",EDATE(B599,12),EDATE(B599,1)))</f>
        <v/>
      </c>
      <c r="C600" s="230" t="str">
        <f aca="false">IF(ISERROR(A600),"",C599+IF($D$9="Monthly",1/12,1))</f>
        <v/>
      </c>
      <c r="D600" s="231" t="n">
        <f aca="false">IF(L599&lt;&gt;1, IF(G599&lt;E599,0,D599),IF(L599=1,IFERROR(ROUND(IF($G599 - (E599 * 6) &lt; 0, D599, ($G599 - (E599 * 6)) * $D$8 / 12),2),0) ) )</f>
        <v>0</v>
      </c>
      <c r="E600" s="231" t="n">
        <f aca="false">IF(ISERROR(A600), 0,  MAX(0,   MIN(    ROUND(G599 + D600, 2),    ROUND(FV($S$5, IF(type=1, A600, A599), , IF(J600&lt;&gt;1, -$D$20, -$P$16 + P600), 2), 0)   )  ) )</f>
        <v>0</v>
      </c>
      <c r="F600" s="231" t="n">
        <f aca="false">IF(J600&lt;&gt;1, "", IF(J599&lt;&gt;0, F599, $K$12))</f>
        <v>1</v>
      </c>
      <c r="G600" s="232" t="str">
        <f aca="false">IF(ISERROR(A600),"",ROUND(G599-E600+D600,2))</f>
        <v/>
      </c>
      <c r="H600" s="237" t="str">
        <f aca="false">IF(G600&gt;0,IFERROR(H599+(H599*($D$16/12)),""),"")</f>
        <v/>
      </c>
      <c r="I600" s="223" t="str">
        <f aca="false">IF(ISERROR(A601),"",12 - MONTH(B600))</f>
        <v/>
      </c>
      <c r="J600" s="224" t="n">
        <f aca="false">K600</f>
        <v>1</v>
      </c>
      <c r="K600" s="225" t="n">
        <f aca="false">_xlfn.IFNA(IF(B600&gt;=$K$11, 1,0),0)</f>
        <v>1</v>
      </c>
      <c r="L600" s="60" t="str">
        <f aca="false">IF(I600=0,1,"")</f>
        <v/>
      </c>
      <c r="P600" s="4"/>
      <c r="V600" s="71"/>
    </row>
    <row r="601" customFormat="false" ht="12.75" hidden="false" customHeight="true" outlineLevel="0" collapsed="false">
      <c r="A601" s="228" t="e">
        <f aca="false">IF(OR(G600="",G600&lt;=0,C600&gt;150),NA(),A600+1)</f>
        <v>#N/A</v>
      </c>
      <c r="B601" s="229" t="str">
        <f aca="false">IF(ISERROR(A601),"",IF($D$9="Annually",EDATE(B600,12),EDATE(B600,1)))</f>
        <v/>
      </c>
      <c r="C601" s="230" t="str">
        <f aca="false">IF(ISERROR(A601),"",C600+IF($D$9="Monthly",1/12,1))</f>
        <v/>
      </c>
      <c r="D601" s="231" t="n">
        <f aca="false">IF(L600&lt;&gt;1, IF(G600&lt;E600,0,D600),IF(L600=1,IFERROR(ROUND(IF($G600 - (E600 * 6) &lt; 0, D600, ($G600 - (E600 * 6)) * $D$8 / 12),2),0) ) )</f>
        <v>0</v>
      </c>
      <c r="E601" s="231" t="n">
        <f aca="false">IF(ISERROR(A601), 0,  MAX(0,   MIN(    ROUND(G600 + D601, 2),    ROUND(FV($S$5, IF(type=1, A601, A600), , IF(J601&lt;&gt;1, -$D$20, -$P$16 + P601), 2), 0)   )  ) )</f>
        <v>0</v>
      </c>
      <c r="F601" s="231" t="n">
        <f aca="false">IF(J601&lt;&gt;1, "", IF(J600&lt;&gt;0, F600, $K$12))</f>
        <v>1</v>
      </c>
      <c r="G601" s="232" t="str">
        <f aca="false">IF(ISERROR(A601),"",ROUND(G600-E601+D601,2))</f>
        <v/>
      </c>
      <c r="H601" s="237" t="str">
        <f aca="false">IF(G601&gt;0,IFERROR(H600+(H600*($D$16/12)),""),"")</f>
        <v/>
      </c>
      <c r="I601" s="223" t="str">
        <f aca="false">IF(ISERROR(A602),"",12 - MONTH(B601))</f>
        <v/>
      </c>
      <c r="J601" s="224" t="n">
        <f aca="false">K601</f>
        <v>1</v>
      </c>
      <c r="K601" s="225" t="n">
        <f aca="false">_xlfn.IFNA(IF(B601&gt;=$K$11, 1,0),0)</f>
        <v>1</v>
      </c>
      <c r="L601" s="60" t="str">
        <f aca="false">IF(I601=0,1,"")</f>
        <v/>
      </c>
      <c r="P601" s="4"/>
      <c r="V601" s="71"/>
    </row>
    <row r="602" customFormat="false" ht="12.75" hidden="false" customHeight="true" outlineLevel="0" collapsed="false">
      <c r="A602" s="228" t="e">
        <f aca="false">IF(OR(G601="",G601&lt;=0,C601&gt;150),NA(),A601+1)</f>
        <v>#N/A</v>
      </c>
      <c r="B602" s="229" t="str">
        <f aca="false">IF(ISERROR(A602),"",IF($D$9="Annually",EDATE(B601,12),EDATE(B601,1)))</f>
        <v/>
      </c>
      <c r="C602" s="230" t="str">
        <f aca="false">IF(ISERROR(A602),"",C601+IF($D$9="Monthly",1/12,1))</f>
        <v/>
      </c>
      <c r="D602" s="231" t="n">
        <f aca="false">IF(L601&lt;&gt;1, IF(G601&lt;E601,0,D601),IF(L601=1,IFERROR(ROUND(IF($G601 - (E601 * 6) &lt; 0, D601, ($G601 - (E601 * 6)) * $D$8 / 12),2),0) ) )</f>
        <v>0</v>
      </c>
      <c r="E602" s="231" t="n">
        <f aca="false">IF(ISERROR(A602), 0,  MAX(0,   MIN(    ROUND(G601 + D602, 2),    ROUND(FV($S$5, IF(type=1, A602, A601), , IF(J602&lt;&gt;1, -$D$20, -$P$16 + P602), 2), 0)   )  ) )</f>
        <v>0</v>
      </c>
      <c r="F602" s="231" t="n">
        <f aca="false">IF(J602&lt;&gt;1, "", IF(J601&lt;&gt;0, F601, $K$12))</f>
        <v>1</v>
      </c>
      <c r="G602" s="232" t="str">
        <f aca="false">IF(ISERROR(A602),"",ROUND(G601-E602+D602,2))</f>
        <v/>
      </c>
      <c r="H602" s="237" t="str">
        <f aca="false">IF(G602&gt;0,IFERROR(H601+(H601*($D$16/12)),""),"")</f>
        <v/>
      </c>
      <c r="I602" s="223" t="str">
        <f aca="false">IF(ISERROR(A603),"",12 - MONTH(B602))</f>
        <v/>
      </c>
      <c r="J602" s="224" t="n">
        <f aca="false">K602</f>
        <v>1</v>
      </c>
      <c r="K602" s="225" t="n">
        <f aca="false">_xlfn.IFNA(IF(B602&gt;=$K$11, 1,0),0)</f>
        <v>1</v>
      </c>
      <c r="L602" s="60" t="str">
        <f aca="false">IF(I602=0,1,"")</f>
        <v/>
      </c>
      <c r="P602" s="4"/>
      <c r="V602" s="71"/>
    </row>
    <row r="603" customFormat="false" ht="12.75" hidden="false" customHeight="true" outlineLevel="0" collapsed="false">
      <c r="A603" s="228" t="e">
        <f aca="false">IF(OR(G602="",G602&lt;=0,C602&gt;150),NA(),A602+1)</f>
        <v>#N/A</v>
      </c>
      <c r="B603" s="229" t="str">
        <f aca="false">IF(ISERROR(A603),"",IF($D$9="Annually",EDATE(B602,12),EDATE(B602,1)))</f>
        <v/>
      </c>
      <c r="C603" s="230" t="str">
        <f aca="false">IF(ISERROR(A603),"",C602+IF($D$9="Monthly",1/12,1))</f>
        <v/>
      </c>
      <c r="D603" s="231" t="n">
        <f aca="false">IF(L602&lt;&gt;1, IF(G602&lt;E602,0,D602),IF(L602=1,IFERROR(ROUND(IF($G602 - (E602 * 6) &lt; 0, D602, ($G602 - (E602 * 6)) * $D$8 / 12),2),0) ) )</f>
        <v>0</v>
      </c>
      <c r="E603" s="231" t="n">
        <f aca="false">IF(ISERROR(A603), 0,  MAX(0,   MIN(    ROUND(G602 + D603, 2),    ROUND(FV($S$5, IF(type=1, A603, A602), , IF(J603&lt;&gt;1, -$D$20, -$P$16 + P603), 2), 0)   )  ) )</f>
        <v>0</v>
      </c>
      <c r="F603" s="231" t="n">
        <f aca="false">IF(J603&lt;&gt;1, "", IF(J602&lt;&gt;0, F602, $K$12))</f>
        <v>1</v>
      </c>
      <c r="G603" s="232" t="str">
        <f aca="false">IF(ISERROR(A603),"",ROUND(G602-E603+D603,2))</f>
        <v/>
      </c>
      <c r="H603" s="237" t="str">
        <f aca="false">IF(G603&gt;0,IFERROR(H602+(H602*($D$16/12)),""),"")</f>
        <v/>
      </c>
      <c r="I603" s="223" t="str">
        <f aca="false">IF(ISERROR(A604),"",12 - MONTH(B603))</f>
        <v/>
      </c>
      <c r="J603" s="224" t="n">
        <f aca="false">K603</f>
        <v>1</v>
      </c>
      <c r="K603" s="225" t="n">
        <f aca="false">_xlfn.IFNA(IF(B603&gt;=$K$11, 1,0),0)</f>
        <v>1</v>
      </c>
      <c r="L603" s="60" t="str">
        <f aca="false">IF(I603=0,1,"")</f>
        <v/>
      </c>
      <c r="P603" s="4"/>
      <c r="V603" s="71"/>
    </row>
    <row r="604" customFormat="false" ht="12.75" hidden="false" customHeight="true" outlineLevel="0" collapsed="false">
      <c r="A604" s="228" t="e">
        <f aca="false">IF(OR(G603="",G603&lt;=0,C603&gt;150),NA(),A603+1)</f>
        <v>#N/A</v>
      </c>
      <c r="B604" s="229" t="str">
        <f aca="false">IF(ISERROR(A604),"",IF($D$9="Annually",EDATE(B603,12),EDATE(B603,1)))</f>
        <v/>
      </c>
      <c r="C604" s="230" t="str">
        <f aca="false">IF(ISERROR(A604),"",C603+IF($D$9="Monthly",1/12,1))</f>
        <v/>
      </c>
      <c r="D604" s="231" t="n">
        <f aca="false">IF(L603&lt;&gt;1, IF(G603&lt;E603,0,D603),IF(L603=1,IFERROR(ROUND(IF($G603 - (E603 * 6) &lt; 0, D603, ($G603 - (E603 * 6)) * $D$8 / 12),2),0) ) )</f>
        <v>0</v>
      </c>
      <c r="E604" s="231" t="n">
        <f aca="false">IF(ISERROR(A604), 0,  MAX(0,   MIN(    ROUND(G603 + D604, 2),    ROUND(FV($S$5, IF(type=1, A604, A603), , IF(J604&lt;&gt;1, -$D$20, -$P$16 + P604), 2), 0)   )  ) )</f>
        <v>0</v>
      </c>
      <c r="F604" s="231" t="n">
        <f aca="false">IF(J604&lt;&gt;1, "", IF(J603&lt;&gt;0, F603, $K$12))</f>
        <v>1</v>
      </c>
      <c r="G604" s="232" t="str">
        <f aca="false">IF(ISERROR(A604),"",ROUND(G603-E604+D604,2))</f>
        <v/>
      </c>
      <c r="H604" s="237" t="str">
        <f aca="false">IF(G604&gt;0,IFERROR(H603+(H603*($D$16/12)),""),"")</f>
        <v/>
      </c>
      <c r="I604" s="223" t="str">
        <f aca="false">IF(ISERROR(A605),"",12 - MONTH(B604))</f>
        <v/>
      </c>
      <c r="J604" s="224" t="n">
        <f aca="false">K604</f>
        <v>1</v>
      </c>
      <c r="K604" s="225" t="n">
        <f aca="false">_xlfn.IFNA(IF(B604&gt;=$K$11, 1,0),0)</f>
        <v>1</v>
      </c>
      <c r="L604" s="60" t="str">
        <f aca="false">IF(I604=0,1,"")</f>
        <v/>
      </c>
      <c r="P604" s="4"/>
      <c r="V604" s="71"/>
    </row>
    <row r="605" customFormat="false" ht="12.75" hidden="false" customHeight="true" outlineLevel="0" collapsed="false">
      <c r="A605" s="228" t="e">
        <f aca="false">IF(OR(G604="",G604&lt;=0,C604&gt;150),NA(),A604+1)</f>
        <v>#N/A</v>
      </c>
      <c r="B605" s="229" t="str">
        <f aca="false">IF(ISERROR(A605),"",IF($D$9="Annually",EDATE(B604,12),EDATE(B604,1)))</f>
        <v/>
      </c>
      <c r="C605" s="230" t="str">
        <f aca="false">IF(ISERROR(A605),"",C604+IF($D$9="Monthly",1/12,1))</f>
        <v/>
      </c>
      <c r="D605" s="231" t="n">
        <f aca="false">IF(L604&lt;&gt;1, IF(G604&lt;E604,0,D604),IF(L604=1,IFERROR(ROUND(IF($G604 - (E604 * 6) &lt; 0, D604, ($G604 - (E604 * 6)) * $D$8 / 12),2),0) ) )</f>
        <v>0</v>
      </c>
      <c r="E605" s="231" t="n">
        <f aca="false">IF(ISERROR(A605), 0,  MAX(0,   MIN(    ROUND(G604 + D605, 2),    ROUND(FV($S$5, IF(type=1, A605, A604), , IF(J605&lt;&gt;1, -$D$20, -$P$16 + P605), 2), 0)   )  ) )</f>
        <v>0</v>
      </c>
      <c r="F605" s="231" t="n">
        <f aca="false">IF(J605&lt;&gt;1, "", IF(J604&lt;&gt;0, F604, $K$12))</f>
        <v>1</v>
      </c>
      <c r="G605" s="232" t="str">
        <f aca="false">IF(ISERROR(A605),"",ROUND(G604-E605+D605,2))</f>
        <v/>
      </c>
      <c r="H605" s="237" t="str">
        <f aca="false">IF(G605&gt;0,IFERROR(H604+(H604*($D$16/12)),""),"")</f>
        <v/>
      </c>
      <c r="I605" s="223" t="str">
        <f aca="false">IF(ISERROR(A606),"",12 - MONTH(B605))</f>
        <v/>
      </c>
      <c r="J605" s="224" t="n">
        <f aca="false">K605</f>
        <v>1</v>
      </c>
      <c r="K605" s="225" t="n">
        <f aca="false">_xlfn.IFNA(IF(B605&gt;=$K$11, 1,0),0)</f>
        <v>1</v>
      </c>
      <c r="L605" s="60" t="str">
        <f aca="false">IF(I605=0,1,"")</f>
        <v/>
      </c>
      <c r="P605" s="4"/>
      <c r="V605" s="71"/>
    </row>
    <row r="606" customFormat="false" ht="12.75" hidden="false" customHeight="true" outlineLevel="0" collapsed="false">
      <c r="A606" s="228" t="e">
        <f aca="false">IF(OR(G605="",G605&lt;=0,C605&gt;150),NA(),A605+1)</f>
        <v>#N/A</v>
      </c>
      <c r="B606" s="229" t="str">
        <f aca="false">IF(ISERROR(A606),"",IF($D$9="Annually",EDATE(B605,12),EDATE(B605,1)))</f>
        <v/>
      </c>
      <c r="C606" s="230" t="str">
        <f aca="false">IF(ISERROR(A606),"",C605+IF($D$9="Monthly",1/12,1))</f>
        <v/>
      </c>
      <c r="D606" s="231" t="n">
        <f aca="false">IF(L605&lt;&gt;1, IF(G605&lt;E605,0,D605),IF(L605=1,IFERROR(ROUND(IF($G605 - (E605 * 6) &lt; 0, D605, ($G605 - (E605 * 6)) * $D$8 / 12),2),0) ) )</f>
        <v>0</v>
      </c>
      <c r="E606" s="231" t="n">
        <f aca="false">IF(ISERROR(A606), 0,  MAX(0,   MIN(    ROUND(G605 + D606, 2),    ROUND(FV($S$5, IF(type=1, A606, A605), , IF(J606&lt;&gt;1, -$D$20, -$P$16 + P606), 2), 0)   )  ) )</f>
        <v>0</v>
      </c>
      <c r="F606" s="231" t="n">
        <f aca="false">IF(J606&lt;&gt;1, "", IF(J605&lt;&gt;0, F605, $K$12))</f>
        <v>1</v>
      </c>
      <c r="G606" s="232" t="str">
        <f aca="false">IF(ISERROR(A606),"",ROUND(G605-E606+D606,2))</f>
        <v/>
      </c>
      <c r="H606" s="237" t="str">
        <f aca="false">IF(G606&gt;0,IFERROR(H605+(H605*($D$16/12)),""),"")</f>
        <v/>
      </c>
      <c r="I606" s="223" t="str">
        <f aca="false">IF(ISERROR(A607),"",12 - MONTH(B606))</f>
        <v/>
      </c>
      <c r="J606" s="224" t="n">
        <f aca="false">K606</f>
        <v>1</v>
      </c>
      <c r="K606" s="225" t="n">
        <f aca="false">_xlfn.IFNA(IF(B606&gt;=$K$11, 1,0),0)</f>
        <v>1</v>
      </c>
      <c r="L606" s="60" t="str">
        <f aca="false">IF(I606=0,1,"")</f>
        <v/>
      </c>
      <c r="P606" s="4"/>
      <c r="V606" s="71"/>
    </row>
    <row r="607" customFormat="false" ht="12.75" hidden="false" customHeight="true" outlineLevel="0" collapsed="false">
      <c r="A607" s="228" t="e">
        <f aca="false">IF(OR(G606="",G606&lt;=0,C606&gt;150),NA(),A606+1)</f>
        <v>#N/A</v>
      </c>
      <c r="B607" s="229" t="str">
        <f aca="false">IF(ISERROR(A607),"",IF($D$9="Annually",EDATE(B606,12),EDATE(B606,1)))</f>
        <v/>
      </c>
      <c r="C607" s="230" t="str">
        <f aca="false">IF(ISERROR(A607),"",C606+IF($D$9="Monthly",1/12,1))</f>
        <v/>
      </c>
      <c r="D607" s="231" t="n">
        <f aca="false">IF(L606&lt;&gt;1, IF(G606&lt;E606,0,D606),IF(L606=1,IFERROR(ROUND(IF($G606 - (E606 * 6) &lt; 0, D606, ($G606 - (E606 * 6)) * $D$8 / 12),2),0) ) )</f>
        <v>0</v>
      </c>
      <c r="E607" s="231" t="n">
        <f aca="false">IF(ISERROR(A607), 0,  MAX(0,   MIN(    ROUND(G606 + D607, 2),    ROUND(FV($S$5, IF(type=1, A607, A606), , IF(J607&lt;&gt;1, -$D$20, -$P$16 + P607), 2), 0)   )  ) )</f>
        <v>0</v>
      </c>
      <c r="F607" s="231" t="n">
        <f aca="false">IF(J607&lt;&gt;1, "", IF(J606&lt;&gt;0, F606, $K$12))</f>
        <v>1</v>
      </c>
      <c r="G607" s="232" t="str">
        <f aca="false">IF(ISERROR(A607),"",ROUND(G606-E607+D607,2))</f>
        <v/>
      </c>
      <c r="H607" s="237" t="str">
        <f aca="false">IF(G607&gt;0,IFERROR(H606+(H606*($D$16/12)),""),"")</f>
        <v/>
      </c>
      <c r="I607" s="223" t="str">
        <f aca="false">IF(ISERROR(A608),"",12 - MONTH(B607))</f>
        <v/>
      </c>
      <c r="J607" s="224" t="n">
        <f aca="false">K607</f>
        <v>1</v>
      </c>
      <c r="K607" s="225" t="n">
        <f aca="false">_xlfn.IFNA(IF(B607&gt;=$K$11, 1,0),0)</f>
        <v>1</v>
      </c>
      <c r="L607" s="60" t="str">
        <f aca="false">IF(I607=0,1,"")</f>
        <v/>
      </c>
      <c r="P607" s="4"/>
      <c r="V607" s="71"/>
    </row>
    <row r="608" customFormat="false" ht="12.75" hidden="false" customHeight="true" outlineLevel="0" collapsed="false">
      <c r="A608" s="228" t="e">
        <f aca="false">IF(OR(G607="",G607&lt;=0,C607&gt;150),NA(),A607+1)</f>
        <v>#N/A</v>
      </c>
      <c r="B608" s="229" t="str">
        <f aca="false">IF(ISERROR(A608),"",IF($D$9="Annually",EDATE(B607,12),EDATE(B607,1)))</f>
        <v/>
      </c>
      <c r="C608" s="230" t="str">
        <f aca="false">IF(ISERROR(A608),"",C607+IF($D$9="Monthly",1/12,1))</f>
        <v/>
      </c>
      <c r="D608" s="231" t="n">
        <f aca="false">IF(L607&lt;&gt;1, IF(G607&lt;E607,0,D607),IF(L607=1,IFERROR(ROUND(IF($G607 - (E607 * 6) &lt; 0, D607, ($G607 - (E607 * 6)) * $D$8 / 12),2),0) ) )</f>
        <v>0</v>
      </c>
      <c r="E608" s="231" t="n">
        <f aca="false">IF(ISERROR(A608), 0,  MAX(0,   MIN(    ROUND(G607 + D608, 2),    ROUND(FV($S$5, IF(type=1, A608, A607), , IF(J608&lt;&gt;1, -$D$20, -$P$16 + P608), 2), 0)   )  ) )</f>
        <v>0</v>
      </c>
      <c r="F608" s="231" t="n">
        <f aca="false">IF(J608&lt;&gt;1, "", IF(J607&lt;&gt;0, F607, $K$12))</f>
        <v>1</v>
      </c>
      <c r="G608" s="232" t="str">
        <f aca="false">IF(ISERROR(A608),"",ROUND(G607-E608+D608,2))</f>
        <v/>
      </c>
      <c r="H608" s="237" t="str">
        <f aca="false">IF(G608&gt;0,IFERROR(H607+(H607*($D$16/12)),""),"")</f>
        <v/>
      </c>
      <c r="I608" s="223" t="str">
        <f aca="false">IF(ISERROR(A609),"",12 - MONTH(B608))</f>
        <v/>
      </c>
      <c r="J608" s="224" t="n">
        <f aca="false">K608</f>
        <v>1</v>
      </c>
      <c r="K608" s="225" t="n">
        <f aca="false">_xlfn.IFNA(IF(B608&gt;=$K$11, 1,0),0)</f>
        <v>1</v>
      </c>
      <c r="L608" s="60" t="str">
        <f aca="false">IF(I608=0,1,"")</f>
        <v/>
      </c>
      <c r="P608" s="4"/>
      <c r="V608" s="71"/>
    </row>
    <row r="609" customFormat="false" ht="12.75" hidden="false" customHeight="true" outlineLevel="0" collapsed="false">
      <c r="A609" s="228" t="e">
        <f aca="false">IF(OR(G608="",G608&lt;=0,C608&gt;150),NA(),A608+1)</f>
        <v>#N/A</v>
      </c>
      <c r="B609" s="229" t="str">
        <f aca="false">IF(ISERROR(A609),"",IF($D$9="Annually",EDATE(B608,12),EDATE(B608,1)))</f>
        <v/>
      </c>
      <c r="C609" s="230" t="str">
        <f aca="false">IF(ISERROR(A609),"",C608+IF($D$9="Monthly",1/12,1))</f>
        <v/>
      </c>
      <c r="D609" s="231" t="n">
        <f aca="false">IF(L608&lt;&gt;1, IF(G608&lt;E608,0,D608),IF(L608=1,IFERROR(ROUND(IF($G608 - (E608 * 6) &lt; 0, D608, ($G608 - (E608 * 6)) * $D$8 / 12),2),0) ) )</f>
        <v>0</v>
      </c>
      <c r="E609" s="231" t="n">
        <f aca="false">IF(ISERROR(A609), 0,  MAX(0,   MIN(    ROUND(G608 + D609, 2),    ROUND(FV($S$5, IF(type=1, A609, A608), , IF(J609&lt;&gt;1, -$D$20, -$P$16 + P609), 2), 0)   )  ) )</f>
        <v>0</v>
      </c>
      <c r="F609" s="231" t="n">
        <f aca="false">IF(J609&lt;&gt;1, "", IF(J608&lt;&gt;0, F608, $K$12))</f>
        <v>1</v>
      </c>
      <c r="G609" s="232" t="str">
        <f aca="false">IF(ISERROR(A609),"",ROUND(G608-E609+D609,2))</f>
        <v/>
      </c>
      <c r="H609" s="237" t="str">
        <f aca="false">IF(G609&gt;0,IFERROR(H608+(H608*($D$16/12)),""),"")</f>
        <v/>
      </c>
      <c r="I609" s="223" t="str">
        <f aca="false">IF(ISERROR(A610),"",12 - MONTH(B609))</f>
        <v/>
      </c>
      <c r="J609" s="224" t="n">
        <f aca="false">K609</f>
        <v>1</v>
      </c>
      <c r="K609" s="225" t="n">
        <f aca="false">_xlfn.IFNA(IF(B609&gt;=$K$11, 1,0),0)</f>
        <v>1</v>
      </c>
      <c r="L609" s="60" t="str">
        <f aca="false">IF(I609=0,1,"")</f>
        <v/>
      </c>
      <c r="P609" s="4"/>
      <c r="V609" s="71"/>
    </row>
    <row r="610" customFormat="false" ht="12.75" hidden="false" customHeight="true" outlineLevel="0" collapsed="false">
      <c r="A610" s="228" t="e">
        <f aca="false">IF(OR(G609="",G609&lt;=0,C609&gt;150),NA(),A609+1)</f>
        <v>#N/A</v>
      </c>
      <c r="B610" s="229" t="str">
        <f aca="false">IF(ISERROR(A610),"",IF($D$9="Annually",EDATE(B609,12),EDATE(B609,1)))</f>
        <v/>
      </c>
      <c r="C610" s="230" t="str">
        <f aca="false">IF(ISERROR(A610),"",C609+IF($D$9="Monthly",1/12,1))</f>
        <v/>
      </c>
      <c r="D610" s="231" t="n">
        <f aca="false">IF(L609&lt;&gt;1, IF(G609&lt;E609,0,D609),IF(L609=1,IFERROR(ROUND(IF($G609 - (E609 * 6) &lt; 0, D609, ($G609 - (E609 * 6)) * $D$8 / 12),2),0) ) )</f>
        <v>0</v>
      </c>
      <c r="E610" s="231" t="n">
        <f aca="false">IF(ISERROR(A610), 0,  MAX(0,   MIN(    ROUND(G609 + D610, 2),    ROUND(FV($S$5, IF(type=1, A610, A609), , IF(J610&lt;&gt;1, -$D$20, -$P$16 + P610), 2), 0)   )  ) )</f>
        <v>0</v>
      </c>
      <c r="F610" s="231" t="n">
        <f aca="false">IF(J610&lt;&gt;1, "", IF(J609&lt;&gt;0, F609, $K$12))</f>
        <v>1</v>
      </c>
      <c r="G610" s="232" t="str">
        <f aca="false">IF(ISERROR(A610),"",ROUND(G609-E610+D610,2))</f>
        <v/>
      </c>
      <c r="H610" s="237" t="str">
        <f aca="false">IF(G610&gt;0,IFERROR(H609+(H609*($D$16/12)),""),"")</f>
        <v/>
      </c>
      <c r="I610" s="223" t="str">
        <f aca="false">IF(ISERROR(A611),"",12 - MONTH(B610))</f>
        <v/>
      </c>
      <c r="J610" s="224" t="n">
        <f aca="false">K610</f>
        <v>1</v>
      </c>
      <c r="K610" s="225" t="n">
        <f aca="false">_xlfn.IFNA(IF(B610&gt;=$K$11, 1,0),0)</f>
        <v>1</v>
      </c>
      <c r="L610" s="60" t="str">
        <f aca="false">IF(I610=0,1,"")</f>
        <v/>
      </c>
      <c r="P610" s="4"/>
      <c r="V610" s="71"/>
    </row>
    <row r="611" customFormat="false" ht="12.75" hidden="false" customHeight="true" outlineLevel="0" collapsed="false">
      <c r="A611" s="228" t="e">
        <f aca="false">IF(OR(G610="",G610&lt;=0,C610&gt;150),NA(),A610+1)</f>
        <v>#N/A</v>
      </c>
      <c r="B611" s="229" t="str">
        <f aca="false">IF(ISERROR(A611),"",IF($D$9="Annually",EDATE(B610,12),EDATE(B610,1)))</f>
        <v/>
      </c>
      <c r="C611" s="230" t="str">
        <f aca="false">IF(ISERROR(A611),"",C610+IF($D$9="Monthly",1/12,1))</f>
        <v/>
      </c>
      <c r="D611" s="231" t="n">
        <f aca="false">IF(L610&lt;&gt;1, IF(G610&lt;E610,0,D610),IF(L610=1,IFERROR(ROUND(IF($G610 - (E610 * 6) &lt; 0, D610, ($G610 - (E610 * 6)) * $D$8 / 12),2),0) ) )</f>
        <v>0</v>
      </c>
      <c r="E611" s="231" t="n">
        <f aca="false">IF(ISERROR(A611), 0,  MAX(0,   MIN(    ROUND(G610 + D611, 2),    ROUND(FV($S$5, IF(type=1, A611, A610), , IF(J611&lt;&gt;1, -$D$20, -$P$16 + P611), 2), 0)   )  ) )</f>
        <v>0</v>
      </c>
      <c r="F611" s="231" t="n">
        <f aca="false">IF(J611&lt;&gt;1, "", IF(J610&lt;&gt;0, F610, $K$12))</f>
        <v>1</v>
      </c>
      <c r="G611" s="232" t="str">
        <f aca="false">IF(ISERROR(A611),"",ROUND(G610-E611+D611,2))</f>
        <v/>
      </c>
      <c r="H611" s="237" t="str">
        <f aca="false">IF(G611&gt;0,IFERROR(H610+(H610*($D$16/12)),""),"")</f>
        <v/>
      </c>
      <c r="I611" s="223" t="str">
        <f aca="false">IF(ISERROR(A612),"",12 - MONTH(B611))</f>
        <v/>
      </c>
      <c r="J611" s="224" t="n">
        <f aca="false">K611</f>
        <v>1</v>
      </c>
      <c r="K611" s="225" t="n">
        <f aca="false">_xlfn.IFNA(IF(B611&gt;=$K$11, 1,0),0)</f>
        <v>1</v>
      </c>
      <c r="L611" s="60" t="str">
        <f aca="false">IF(I611=0,1,"")</f>
        <v/>
      </c>
      <c r="P611" s="4"/>
      <c r="V611" s="71"/>
    </row>
    <row r="612" customFormat="false" ht="12.75" hidden="false" customHeight="true" outlineLevel="0" collapsed="false">
      <c r="A612" s="228" t="e">
        <f aca="false">IF(OR(G611="",G611&lt;=0,C611&gt;150),NA(),A611+1)</f>
        <v>#N/A</v>
      </c>
      <c r="B612" s="229" t="str">
        <f aca="false">IF(ISERROR(A612),"",IF($D$9="Annually",EDATE(B611,12),EDATE(B611,1)))</f>
        <v/>
      </c>
      <c r="C612" s="230" t="str">
        <f aca="false">IF(ISERROR(A612),"",C611+IF($D$9="Monthly",1/12,1))</f>
        <v/>
      </c>
      <c r="D612" s="231" t="n">
        <f aca="false">IF(L611&lt;&gt;1, IF(G611&lt;E611,0,D611),IF(L611=1,IFERROR(ROUND(IF($G611 - (E611 * 6) &lt; 0, D611, ($G611 - (E611 * 6)) * $D$8 / 12),2),0) ) )</f>
        <v>0</v>
      </c>
      <c r="E612" s="231" t="n">
        <f aca="false">IF(ISERROR(A612), 0,  MAX(0,   MIN(    ROUND(G611 + D612, 2),    ROUND(FV($S$5, IF(type=1, A612, A611), , IF(J612&lt;&gt;1, -$D$20, -$P$16 + P612), 2), 0)   )  ) )</f>
        <v>0</v>
      </c>
      <c r="F612" s="231" t="n">
        <f aca="false">IF(J612&lt;&gt;1, "", IF(J611&lt;&gt;0, F611, $K$12))</f>
        <v>1</v>
      </c>
      <c r="G612" s="232" t="str">
        <f aca="false">IF(ISERROR(A612),"",ROUND(G611-E612+D612,2))</f>
        <v/>
      </c>
      <c r="H612" s="237" t="str">
        <f aca="false">IF(G612&gt;0,IFERROR(H611+(H611*($D$16/12)),""),"")</f>
        <v/>
      </c>
      <c r="I612" s="223" t="str">
        <f aca="false">IF(ISERROR(A613),"",12 - MONTH(B612))</f>
        <v/>
      </c>
      <c r="J612" s="224" t="n">
        <f aca="false">K612</f>
        <v>1</v>
      </c>
      <c r="K612" s="225" t="n">
        <f aca="false">_xlfn.IFNA(IF(B612&gt;=$K$11, 1,0),0)</f>
        <v>1</v>
      </c>
      <c r="L612" s="60" t="str">
        <f aca="false">IF(I612=0,1,"")</f>
        <v/>
      </c>
      <c r="P612" s="4"/>
      <c r="V612" s="71"/>
    </row>
    <row r="613" customFormat="false" ht="12.75" hidden="false" customHeight="true" outlineLevel="0" collapsed="false">
      <c r="A613" s="228" t="e">
        <f aca="false">IF(OR(G612="",G612&lt;=0,C612&gt;150),NA(),A612+1)</f>
        <v>#N/A</v>
      </c>
      <c r="B613" s="229" t="str">
        <f aca="false">IF(ISERROR(A613),"",IF($D$9="Annually",EDATE(B612,12),EDATE(B612,1)))</f>
        <v/>
      </c>
      <c r="C613" s="230" t="str">
        <f aca="false">IF(ISERROR(A613),"",C612+IF($D$9="Monthly",1/12,1))</f>
        <v/>
      </c>
      <c r="D613" s="231" t="n">
        <f aca="false">IF(L612&lt;&gt;1, IF(G612&lt;E612,0,D612),IF(L612=1,IFERROR(ROUND(IF($G612 - (E612 * 6) &lt; 0, D612, ($G612 - (E612 * 6)) * $D$8 / 12),2),0) ) )</f>
        <v>0</v>
      </c>
      <c r="E613" s="231" t="n">
        <f aca="false">IF(ISERROR(A613), 0,  MAX(0,   MIN(    ROUND(G612 + D613, 2),    ROUND(FV($S$5, IF(type=1, A613, A612), , IF(J613&lt;&gt;1, -$D$20, -$P$16 + P613), 2), 0)   )  ) )</f>
        <v>0</v>
      </c>
      <c r="F613" s="231" t="n">
        <f aca="false">IF(J613&lt;&gt;1, "", IF(J612&lt;&gt;0, F612, $K$12))</f>
        <v>1</v>
      </c>
      <c r="G613" s="232" t="str">
        <f aca="false">IF(ISERROR(A613),"",ROUND(G612-E613+D613,2))</f>
        <v/>
      </c>
      <c r="H613" s="237" t="str">
        <f aca="false">IF(G613&gt;0,IFERROR(H612+(H612*($D$16/12)),""),"")</f>
        <v/>
      </c>
      <c r="I613" s="223" t="str">
        <f aca="false">IF(ISERROR(A614),"",12 - MONTH(B613))</f>
        <v/>
      </c>
      <c r="J613" s="224" t="n">
        <f aca="false">K613</f>
        <v>1</v>
      </c>
      <c r="K613" s="225" t="n">
        <f aca="false">_xlfn.IFNA(IF(B613&gt;=$K$11, 1,0),0)</f>
        <v>1</v>
      </c>
      <c r="L613" s="60" t="str">
        <f aca="false">IF(I613=0,1,"")</f>
        <v/>
      </c>
      <c r="P613" s="4"/>
      <c r="V613" s="71"/>
    </row>
    <row r="614" customFormat="false" ht="12.75" hidden="false" customHeight="true" outlineLevel="0" collapsed="false">
      <c r="A614" s="228" t="e">
        <f aca="false">IF(OR(G613="",G613&lt;=0,C613&gt;150),NA(),A613+1)</f>
        <v>#N/A</v>
      </c>
      <c r="B614" s="229" t="str">
        <f aca="false">IF(ISERROR(A614),"",IF($D$9="Annually",EDATE(B613,12),EDATE(B613,1)))</f>
        <v/>
      </c>
      <c r="C614" s="230" t="str">
        <f aca="false">IF(ISERROR(A614),"",C613+IF($D$9="Monthly",1/12,1))</f>
        <v/>
      </c>
      <c r="D614" s="231" t="n">
        <f aca="false">IF(L613&lt;&gt;1, IF(G613&lt;E613,0,D613),IF(L613=1,IFERROR(ROUND(IF($G613 - (E613 * 6) &lt; 0, D613, ($G613 - (E613 * 6)) * $D$8 / 12),2),0) ) )</f>
        <v>0</v>
      </c>
      <c r="E614" s="231" t="n">
        <f aca="false">IF(ISERROR(A614), 0,  MAX(0,   MIN(    ROUND(G613 + D614, 2),    ROUND(FV($S$5, IF(type=1, A614, A613), , IF(J614&lt;&gt;1, -$D$20, -$P$16 + P614), 2), 0)   )  ) )</f>
        <v>0</v>
      </c>
      <c r="F614" s="231" t="n">
        <f aca="false">IF(J614&lt;&gt;1, "", IF(J613&lt;&gt;0, F613, $K$12))</f>
        <v>1</v>
      </c>
      <c r="G614" s="232" t="str">
        <f aca="false">IF(ISERROR(A614),"",ROUND(G613-E614+D614,2))</f>
        <v/>
      </c>
      <c r="H614" s="237" t="str">
        <f aca="false">IF(G614&gt;0,IFERROR(H613+(H613*($D$16/12)),""),"")</f>
        <v/>
      </c>
      <c r="I614" s="223" t="str">
        <f aca="false">IF(ISERROR(A615),"",12 - MONTH(B614))</f>
        <v/>
      </c>
      <c r="J614" s="224" t="n">
        <f aca="false">K614</f>
        <v>1</v>
      </c>
      <c r="K614" s="225" t="n">
        <f aca="false">_xlfn.IFNA(IF(B614&gt;=$K$11, 1,0),0)</f>
        <v>1</v>
      </c>
      <c r="L614" s="60" t="str">
        <f aca="false">IF(I614=0,1,"")</f>
        <v/>
      </c>
      <c r="P614" s="4"/>
      <c r="V614" s="71"/>
    </row>
    <row r="615" customFormat="false" ht="12.75" hidden="false" customHeight="true" outlineLevel="0" collapsed="false">
      <c r="A615" s="228" t="e">
        <f aca="false">IF(OR(G614="",G614&lt;=0,C614&gt;150),NA(),A614+1)</f>
        <v>#N/A</v>
      </c>
      <c r="B615" s="229" t="str">
        <f aca="false">IF(ISERROR(A615),"",IF($D$9="Annually",EDATE(B614,12),EDATE(B614,1)))</f>
        <v/>
      </c>
      <c r="C615" s="230" t="str">
        <f aca="false">IF(ISERROR(A615),"",C614+IF($D$9="Monthly",1/12,1))</f>
        <v/>
      </c>
      <c r="D615" s="231" t="n">
        <f aca="false">IF(L614&lt;&gt;1, IF(G614&lt;E614,0,D614),IF(L614=1,IFERROR(ROUND(IF($G614 - (E614 * 6) &lt; 0, D614, ($G614 - (E614 * 6)) * $D$8 / 12),2),0) ) )</f>
        <v>0</v>
      </c>
      <c r="E615" s="231" t="n">
        <f aca="false">IF(ISERROR(A615), 0,  MAX(0,   MIN(    ROUND(G614 + D615, 2),    ROUND(FV($S$5, IF(type=1, A615, A614), , IF(J615&lt;&gt;1, -$D$20, -$P$16 + P615), 2), 0)   )  ) )</f>
        <v>0</v>
      </c>
      <c r="F615" s="231" t="n">
        <f aca="false">IF(J615&lt;&gt;1, "", IF(J614&lt;&gt;0, F614, $K$12))</f>
        <v>1</v>
      </c>
      <c r="G615" s="232" t="str">
        <f aca="false">IF(ISERROR(A615),"",ROUND(G614-E615+D615,2))</f>
        <v/>
      </c>
      <c r="H615" s="237" t="str">
        <f aca="false">IF(G615&gt;0,IFERROR(H614+(H614*($D$16/12)),""),"")</f>
        <v/>
      </c>
      <c r="I615" s="223" t="str">
        <f aca="false">IF(ISERROR(A616),"",12 - MONTH(B615))</f>
        <v/>
      </c>
      <c r="J615" s="224" t="n">
        <f aca="false">K615</f>
        <v>1</v>
      </c>
      <c r="K615" s="225" t="n">
        <f aca="false">_xlfn.IFNA(IF(B615&gt;=$K$11, 1,0),0)</f>
        <v>1</v>
      </c>
      <c r="L615" s="60" t="str">
        <f aca="false">IF(I615=0,1,"")</f>
        <v/>
      </c>
      <c r="P615" s="4"/>
      <c r="V615" s="71"/>
    </row>
    <row r="616" customFormat="false" ht="12.75" hidden="false" customHeight="true" outlineLevel="0" collapsed="false">
      <c r="A616" s="228" t="e">
        <f aca="false">IF(OR(G615="",G615&lt;=0,C615&gt;150),NA(),A615+1)</f>
        <v>#N/A</v>
      </c>
      <c r="B616" s="229" t="str">
        <f aca="false">IF(ISERROR(A616),"",IF($D$9="Annually",EDATE(B615,12),EDATE(B615,1)))</f>
        <v/>
      </c>
      <c r="C616" s="230" t="str">
        <f aca="false">IF(ISERROR(A616),"",C615+IF($D$9="Monthly",1/12,1))</f>
        <v/>
      </c>
      <c r="D616" s="231" t="n">
        <f aca="false">IF(L615&lt;&gt;1, IF(G615&lt;E615,0,D615),IF(L615=1,IFERROR(ROUND(IF($G615 - (E615 * 6) &lt; 0, D615, ($G615 - (E615 * 6)) * $D$8 / 12),2),0) ) )</f>
        <v>0</v>
      </c>
      <c r="E616" s="231" t="n">
        <f aca="false">IF(ISERROR(A616), 0,  MAX(0,   MIN(    ROUND(G615 + D616, 2),    ROUND(FV($S$5, IF(type=1, A616, A615), , IF(J616&lt;&gt;1, -$D$20, -$P$16 + P616), 2), 0)   )  ) )</f>
        <v>0</v>
      </c>
      <c r="F616" s="231" t="n">
        <f aca="false">IF(J616&lt;&gt;1, "", IF(J615&lt;&gt;0, F615, $K$12))</f>
        <v>1</v>
      </c>
      <c r="G616" s="232" t="str">
        <f aca="false">IF(ISERROR(A616),"",ROUND(G615-E616+D616,2))</f>
        <v/>
      </c>
      <c r="H616" s="237" t="str">
        <f aca="false">IF(G616&gt;0,IFERROR(H615+(H615*($D$16/12)),""),"")</f>
        <v/>
      </c>
      <c r="I616" s="223" t="str">
        <f aca="false">IF(ISERROR(A617),"",12 - MONTH(B616))</f>
        <v/>
      </c>
      <c r="J616" s="224" t="n">
        <f aca="false">K616</f>
        <v>1</v>
      </c>
      <c r="K616" s="225" t="n">
        <f aca="false">_xlfn.IFNA(IF(B616&gt;=$K$11, 1,0),0)</f>
        <v>1</v>
      </c>
      <c r="L616" s="60" t="str">
        <f aca="false">IF(I616=0,1,"")</f>
        <v/>
      </c>
      <c r="P616" s="4"/>
      <c r="V616" s="71"/>
    </row>
    <row r="617" customFormat="false" ht="12.75" hidden="false" customHeight="true" outlineLevel="0" collapsed="false">
      <c r="A617" s="228" t="e">
        <f aca="false">IF(OR(G616="",G616&lt;=0,C616&gt;150),NA(),A616+1)</f>
        <v>#N/A</v>
      </c>
      <c r="B617" s="229" t="str">
        <f aca="false">IF(ISERROR(A617),"",IF($D$9="Annually",EDATE(B616,12),EDATE(B616,1)))</f>
        <v/>
      </c>
      <c r="C617" s="230" t="str">
        <f aca="false">IF(ISERROR(A617),"",C616+IF($D$9="Monthly",1/12,1))</f>
        <v/>
      </c>
      <c r="D617" s="231" t="n">
        <f aca="false">IF(L616&lt;&gt;1, IF(G616&lt;E616,0,D616),IF(L616=1,IFERROR(ROUND(IF($G616 - (E616 * 6) &lt; 0, D616, ($G616 - (E616 * 6)) * $D$8 / 12),2),0) ) )</f>
        <v>0</v>
      </c>
      <c r="E617" s="231" t="n">
        <f aca="false">IF(ISERROR(A617), 0,  MAX(0,   MIN(    ROUND(G616 + D617, 2),    ROUND(FV($S$5, IF(type=1, A617, A616), , IF(J617&lt;&gt;1, -$D$20, -$P$16 + P617), 2), 0)   )  ) )</f>
        <v>0</v>
      </c>
      <c r="F617" s="231" t="n">
        <f aca="false">IF(J617&lt;&gt;1, "", IF(J616&lt;&gt;0, F616, $K$12))</f>
        <v>1</v>
      </c>
      <c r="G617" s="232" t="str">
        <f aca="false">IF(ISERROR(A617),"",ROUND(G616-E617+D617,2))</f>
        <v/>
      </c>
      <c r="H617" s="237" t="str">
        <f aca="false">IF(G617&gt;0,IFERROR(H616+(H616*($D$16/12)),""),"")</f>
        <v/>
      </c>
      <c r="I617" s="223" t="str">
        <f aca="false">IF(ISERROR(A618),"",12 - MONTH(B617))</f>
        <v/>
      </c>
      <c r="J617" s="224" t="n">
        <f aca="false">K617</f>
        <v>1</v>
      </c>
      <c r="K617" s="225" t="n">
        <f aca="false">_xlfn.IFNA(IF(B617&gt;=$K$11, 1,0),0)</f>
        <v>1</v>
      </c>
      <c r="L617" s="60" t="str">
        <f aca="false">IF(I617=0,1,"")</f>
        <v/>
      </c>
      <c r="P617" s="4"/>
      <c r="V617" s="71"/>
    </row>
    <row r="618" customFormat="false" ht="12.75" hidden="false" customHeight="true" outlineLevel="0" collapsed="false">
      <c r="A618" s="228" t="e">
        <f aca="false">IF(OR(G617="",G617&lt;=0,C617&gt;150),NA(),A617+1)</f>
        <v>#N/A</v>
      </c>
      <c r="B618" s="229" t="str">
        <f aca="false">IF(ISERROR(A618),"",IF($D$9="Annually",EDATE(B617,12),EDATE(B617,1)))</f>
        <v/>
      </c>
      <c r="C618" s="230" t="str">
        <f aca="false">IF(ISERROR(A618),"",C617+IF($D$9="Monthly",1/12,1))</f>
        <v/>
      </c>
      <c r="D618" s="231" t="n">
        <f aca="false">IF(L617&lt;&gt;1, IF(G617&lt;E617,0,D617),IF(L617=1,IFERROR(ROUND(IF($G617 - (E617 * 6) &lt; 0, D617, ($G617 - (E617 * 6)) * $D$8 / 12),2),0) ) )</f>
        <v>0</v>
      </c>
      <c r="E618" s="231" t="n">
        <f aca="false">IF(ISERROR(A618), 0,  MAX(0,   MIN(    ROUND(G617 + D618, 2),    ROUND(FV($S$5, IF(type=1, A618, A617), , IF(J618&lt;&gt;1, -$D$20, -$P$16 + P618), 2), 0)   )  ) )</f>
        <v>0</v>
      </c>
      <c r="F618" s="231" t="n">
        <f aca="false">IF(J618&lt;&gt;1, "", IF(J617&lt;&gt;0, F617, $K$12))</f>
        <v>1</v>
      </c>
      <c r="G618" s="232" t="str">
        <f aca="false">IF(ISERROR(A618),"",ROUND(G617-E618+D618,2))</f>
        <v/>
      </c>
      <c r="H618" s="237" t="str">
        <f aca="false">IF(G618&gt;0,IFERROR(H617+(H617*($D$16/12)),""),"")</f>
        <v/>
      </c>
      <c r="I618" s="223" t="str">
        <f aca="false">IF(ISERROR(A619),"",12 - MONTH(B618))</f>
        <v/>
      </c>
      <c r="J618" s="224" t="n">
        <f aca="false">K618</f>
        <v>1</v>
      </c>
      <c r="K618" s="225" t="n">
        <f aca="false">_xlfn.IFNA(IF(B618&gt;=$K$11, 1,0),0)</f>
        <v>1</v>
      </c>
      <c r="L618" s="60" t="str">
        <f aca="false">IF(I618=0,1,"")</f>
        <v/>
      </c>
      <c r="P618" s="4"/>
      <c r="V618" s="71"/>
    </row>
    <row r="619" customFormat="false" ht="12.75" hidden="false" customHeight="true" outlineLevel="0" collapsed="false">
      <c r="A619" s="228" t="e">
        <f aca="false">IF(OR(G618="",G618&lt;=0,C618&gt;150),NA(),A618+1)</f>
        <v>#N/A</v>
      </c>
      <c r="B619" s="229" t="str">
        <f aca="false">IF(ISERROR(A619),"",IF($D$9="Annually",EDATE(B618,12),EDATE(B618,1)))</f>
        <v/>
      </c>
      <c r="C619" s="230" t="str">
        <f aca="false">IF(ISERROR(A619),"",C618+IF($D$9="Monthly",1/12,1))</f>
        <v/>
      </c>
      <c r="D619" s="231" t="n">
        <f aca="false">IF(L618&lt;&gt;1, IF(G618&lt;E618,0,D618),IF(L618=1,IFERROR(ROUND(IF($G618 - (E618 * 6) &lt; 0, D618, ($G618 - (E618 * 6)) * $D$8 / 12),2),0) ) )</f>
        <v>0</v>
      </c>
      <c r="E619" s="231" t="n">
        <f aca="false">IF(ISERROR(A619), 0,  MAX(0,   MIN(    ROUND(G618 + D619, 2),    ROUND(FV($S$5, IF(type=1, A619, A618), , IF(J619&lt;&gt;1, -$D$20, -$P$16 + P619), 2), 0)   )  ) )</f>
        <v>0</v>
      </c>
      <c r="F619" s="231" t="n">
        <f aca="false">IF(J619&lt;&gt;1, "", IF(J618&lt;&gt;0, F618, $K$12))</f>
        <v>1</v>
      </c>
      <c r="G619" s="232" t="str">
        <f aca="false">IF(ISERROR(A619),"",ROUND(G618-E619+D619,2))</f>
        <v/>
      </c>
      <c r="H619" s="237" t="str">
        <f aca="false">IF(G619&gt;0,IFERROR(H618+(H618*($D$16/12)),""),"")</f>
        <v/>
      </c>
      <c r="I619" s="223" t="str">
        <f aca="false">IF(ISERROR(A620),"",12 - MONTH(B619))</f>
        <v/>
      </c>
      <c r="J619" s="224" t="n">
        <f aca="false">K619</f>
        <v>1</v>
      </c>
      <c r="K619" s="225" t="n">
        <f aca="false">_xlfn.IFNA(IF(B619&gt;=$K$11, 1,0),0)</f>
        <v>1</v>
      </c>
      <c r="L619" s="60" t="str">
        <f aca="false">IF(I619=0,1,"")</f>
        <v/>
      </c>
      <c r="P619" s="4"/>
      <c r="V619" s="71"/>
    </row>
    <row r="620" customFormat="false" ht="12.75" hidden="false" customHeight="true" outlineLevel="0" collapsed="false">
      <c r="A620" s="228" t="e">
        <f aca="false">IF(OR(G619="",G619&lt;=0,C619&gt;150),NA(),A619+1)</f>
        <v>#N/A</v>
      </c>
      <c r="B620" s="229" t="str">
        <f aca="false">IF(ISERROR(A620),"",IF($D$9="Annually",EDATE(B619,12),EDATE(B619,1)))</f>
        <v/>
      </c>
      <c r="C620" s="230" t="str">
        <f aca="false">IF(ISERROR(A620),"",C619+IF($D$9="Monthly",1/12,1))</f>
        <v/>
      </c>
      <c r="D620" s="231" t="n">
        <f aca="false">IF(L619&lt;&gt;1, IF(G619&lt;E619,0,D619),IF(L619=1,IFERROR(ROUND(IF($G619 - (E619 * 6) &lt; 0, D619, ($G619 - (E619 * 6)) * $D$8 / 12),2),0) ) )</f>
        <v>0</v>
      </c>
      <c r="E620" s="231" t="n">
        <f aca="false">IF(ISERROR(A620), 0,  MAX(0,   MIN(    ROUND(G619 + D620, 2),    ROUND(FV($S$5, IF(type=1, A620, A619), , IF(J620&lt;&gt;1, -$D$20, -$P$16 + P620), 2), 0)   )  ) )</f>
        <v>0</v>
      </c>
      <c r="F620" s="231" t="n">
        <f aca="false">IF(J620&lt;&gt;1, "", IF(J619&lt;&gt;0, F619, $K$12))</f>
        <v>1</v>
      </c>
      <c r="G620" s="232" t="str">
        <f aca="false">IF(ISERROR(A620),"",ROUND(G619-E620+D620,2))</f>
        <v/>
      </c>
      <c r="H620" s="237" t="str">
        <f aca="false">IF(G620&gt;0,IFERROR(H619+(H619*($D$16/12)),""),"")</f>
        <v/>
      </c>
      <c r="I620" s="223" t="str">
        <f aca="false">IF(ISERROR(A621),"",12 - MONTH(B620))</f>
        <v/>
      </c>
      <c r="J620" s="224" t="n">
        <f aca="false">K620</f>
        <v>1</v>
      </c>
      <c r="K620" s="225" t="n">
        <f aca="false">_xlfn.IFNA(IF(B620&gt;=$K$11, 1,0),0)</f>
        <v>1</v>
      </c>
      <c r="L620" s="60" t="str">
        <f aca="false">IF(I620=0,1,"")</f>
        <v/>
      </c>
      <c r="P620" s="4"/>
      <c r="V620" s="71"/>
    </row>
    <row r="621" customFormat="false" ht="12.75" hidden="false" customHeight="true" outlineLevel="0" collapsed="false">
      <c r="A621" s="228" t="e">
        <f aca="false">IF(OR(G620="",G620&lt;=0,C620&gt;150),NA(),A620+1)</f>
        <v>#N/A</v>
      </c>
      <c r="B621" s="229" t="str">
        <f aca="false">IF(ISERROR(A621),"",IF($D$9="Annually",EDATE(B620,12),EDATE(B620,1)))</f>
        <v/>
      </c>
      <c r="C621" s="230" t="str">
        <f aca="false">IF(ISERROR(A621),"",C620+IF($D$9="Monthly",1/12,1))</f>
        <v/>
      </c>
      <c r="D621" s="231" t="n">
        <f aca="false">IF(L620&lt;&gt;1, IF(G620&lt;E620,0,D620),IF(L620=1,IFERROR(ROUND(IF($G620 - (E620 * 6) &lt; 0, D620, ($G620 - (E620 * 6)) * $D$8 / 12),2),0) ) )</f>
        <v>0</v>
      </c>
      <c r="E621" s="231" t="n">
        <f aca="false">IF(ISERROR(A621), 0,  MAX(0,   MIN(    ROUND(G620 + D621, 2),    ROUND(FV($S$5, IF(type=1, A621, A620), , IF(J621&lt;&gt;1, -$D$20, -$P$16 + P621), 2), 0)   )  ) )</f>
        <v>0</v>
      </c>
      <c r="F621" s="231" t="n">
        <f aca="false">IF(J621&lt;&gt;1, "", IF(J620&lt;&gt;0, F620, $K$12))</f>
        <v>1</v>
      </c>
      <c r="G621" s="232" t="str">
        <f aca="false">IF(ISERROR(A621),"",ROUND(G620-E621+D621,2))</f>
        <v/>
      </c>
      <c r="H621" s="237" t="str">
        <f aca="false">IF(G621&gt;0,IFERROR(H620+(H620*($D$16/12)),""),"")</f>
        <v/>
      </c>
      <c r="I621" s="223" t="str">
        <f aca="false">IF(ISERROR(A622),"",12 - MONTH(B621))</f>
        <v/>
      </c>
      <c r="J621" s="224" t="n">
        <f aca="false">K621</f>
        <v>1</v>
      </c>
      <c r="K621" s="225" t="n">
        <f aca="false">_xlfn.IFNA(IF(B621&gt;=$K$11, 1,0),0)</f>
        <v>1</v>
      </c>
      <c r="L621" s="60" t="str">
        <f aca="false">IF(I621=0,1,"")</f>
        <v/>
      </c>
      <c r="P621" s="4"/>
      <c r="V621" s="71"/>
    </row>
    <row r="622" customFormat="false" ht="12.75" hidden="false" customHeight="true" outlineLevel="0" collapsed="false">
      <c r="A622" s="228" t="e">
        <f aca="false">IF(OR(G621="",G621&lt;=0,C621&gt;150),NA(),A621+1)</f>
        <v>#N/A</v>
      </c>
      <c r="B622" s="229" t="str">
        <f aca="false">IF(ISERROR(A622),"",IF($D$9="Annually",EDATE(B621,12),EDATE(B621,1)))</f>
        <v/>
      </c>
      <c r="C622" s="230" t="str">
        <f aca="false">IF(ISERROR(A622),"",C621+IF($D$9="Monthly",1/12,1))</f>
        <v/>
      </c>
      <c r="D622" s="231" t="n">
        <f aca="false">IF(L621&lt;&gt;1, IF(G621&lt;E621,0,D621),IF(L621=1,IFERROR(ROUND(IF($G621 - (E621 * 6) &lt; 0, D621, ($G621 - (E621 * 6)) * $D$8 / 12),2),0) ) )</f>
        <v>0</v>
      </c>
      <c r="E622" s="231" t="n">
        <f aca="false">IF(ISERROR(A622), 0,  MAX(0,   MIN(    ROUND(G621 + D622, 2),    ROUND(FV($S$5, IF(type=1, A622, A621), , IF(J622&lt;&gt;1, -$D$20, -$P$16 + P622), 2), 0)   )  ) )</f>
        <v>0</v>
      </c>
      <c r="F622" s="231" t="n">
        <f aca="false">IF(J622&lt;&gt;1, "", IF(J621&lt;&gt;0, F621, $K$12))</f>
        <v>1</v>
      </c>
      <c r="G622" s="232" t="str">
        <f aca="false">IF(ISERROR(A622),"",ROUND(G621-E622+D622,2))</f>
        <v/>
      </c>
      <c r="H622" s="237" t="str">
        <f aca="false">IF(G622&gt;0,IFERROR(H621+(H621*($D$16/12)),""),"")</f>
        <v/>
      </c>
      <c r="I622" s="223" t="str">
        <f aca="false">IF(ISERROR(A623),"",12 - MONTH(B622))</f>
        <v/>
      </c>
      <c r="J622" s="224" t="n">
        <f aca="false">K622</f>
        <v>1</v>
      </c>
      <c r="K622" s="225" t="n">
        <f aca="false">_xlfn.IFNA(IF(B622&gt;=$K$11, 1,0),0)</f>
        <v>1</v>
      </c>
      <c r="L622" s="60" t="str">
        <f aca="false">IF(I622=0,1,"")</f>
        <v/>
      </c>
      <c r="P622" s="4"/>
      <c r="V622" s="71"/>
    </row>
    <row r="623" customFormat="false" ht="12.75" hidden="false" customHeight="true" outlineLevel="0" collapsed="false">
      <c r="A623" s="228" t="e">
        <f aca="false">IF(OR(G622="",G622&lt;=0,C622&gt;150),NA(),A622+1)</f>
        <v>#N/A</v>
      </c>
      <c r="B623" s="229" t="str">
        <f aca="false">IF(ISERROR(A623),"",IF($D$9="Annually",EDATE(B622,12),EDATE(B622,1)))</f>
        <v/>
      </c>
      <c r="C623" s="230" t="str">
        <f aca="false">IF(ISERROR(A623),"",C622+IF($D$9="Monthly",1/12,1))</f>
        <v/>
      </c>
      <c r="D623" s="231" t="n">
        <f aca="false">IF(L622&lt;&gt;1, IF(G622&lt;E622,0,D622),IF(L622=1,IFERROR(ROUND(IF($G622 - (E622 * 6) &lt; 0, D622, ($G622 - (E622 * 6)) * $D$8 / 12),2),0) ) )</f>
        <v>0</v>
      </c>
      <c r="E623" s="231" t="n">
        <f aca="false">IF(ISERROR(A623), 0,  MAX(0,   MIN(    ROUND(G622 + D623, 2),    ROUND(FV($S$5, IF(type=1, A623, A622), , IF(J623&lt;&gt;1, -$D$20, -$P$16 + P623), 2), 0)   )  ) )</f>
        <v>0</v>
      </c>
      <c r="F623" s="231" t="n">
        <f aca="false">IF(J623&lt;&gt;1, "", IF(J622&lt;&gt;0, F622, $K$12))</f>
        <v>1</v>
      </c>
      <c r="G623" s="232" t="str">
        <f aca="false">IF(ISERROR(A623),"",ROUND(G622-E623+D623,2))</f>
        <v/>
      </c>
      <c r="H623" s="237" t="str">
        <f aca="false">IF(G623&gt;0,IFERROR(H622+(H622*($D$16/12)),""),"")</f>
        <v/>
      </c>
      <c r="I623" s="223" t="str">
        <f aca="false">IF(ISERROR(A624),"",12 - MONTH(B623))</f>
        <v/>
      </c>
      <c r="J623" s="224" t="n">
        <f aca="false">K623</f>
        <v>1</v>
      </c>
      <c r="K623" s="225" t="n">
        <f aca="false">_xlfn.IFNA(IF(B623&gt;=$K$11, 1,0),0)</f>
        <v>1</v>
      </c>
      <c r="L623" s="60" t="str">
        <f aca="false">IF(I623=0,1,"")</f>
        <v/>
      </c>
      <c r="P623" s="4"/>
      <c r="V623" s="71"/>
    </row>
    <row r="624" customFormat="false" ht="12.75" hidden="false" customHeight="true" outlineLevel="0" collapsed="false">
      <c r="A624" s="228" t="e">
        <f aca="false">IF(OR(G623="",G623&lt;=0,C623&gt;150),NA(),A623+1)</f>
        <v>#N/A</v>
      </c>
      <c r="B624" s="229" t="str">
        <f aca="false">IF(ISERROR(A624),"",IF($D$9="Annually",EDATE(B623,12),EDATE(B623,1)))</f>
        <v/>
      </c>
      <c r="C624" s="230" t="str">
        <f aca="false">IF(ISERROR(A624),"",C623+IF($D$9="Monthly",1/12,1))</f>
        <v/>
      </c>
      <c r="D624" s="231" t="n">
        <f aca="false">IF(L623&lt;&gt;1, IF(G623&lt;E623,0,D623),IF(L623=1,IFERROR(ROUND(IF($G623 - (E623 * 6) &lt; 0, D623, ($G623 - (E623 * 6)) * $D$8 / 12),2),0) ) )</f>
        <v>0</v>
      </c>
      <c r="E624" s="231" t="n">
        <f aca="false">IF(ISERROR(A624), 0,  MAX(0,   MIN(    ROUND(G623 + D624, 2),    ROUND(FV($S$5, IF(type=1, A624, A623), , IF(J624&lt;&gt;1, -$D$20, -$P$16 + P624), 2), 0)   )  ) )</f>
        <v>0</v>
      </c>
      <c r="F624" s="231" t="n">
        <f aca="false">IF(J624&lt;&gt;1, "", IF(J623&lt;&gt;0, F623, $K$12))</f>
        <v>1</v>
      </c>
      <c r="G624" s="232" t="str">
        <f aca="false">IF(ISERROR(A624),"",ROUND(G623-E624+D624,2))</f>
        <v/>
      </c>
      <c r="H624" s="237" t="str">
        <f aca="false">IF(G624&gt;0,IFERROR(H623+(H623*($D$16/12)),""),"")</f>
        <v/>
      </c>
      <c r="I624" s="223" t="str">
        <f aca="false">IF(ISERROR(A625),"",12 - MONTH(B624))</f>
        <v/>
      </c>
      <c r="J624" s="224" t="n">
        <f aca="false">K624</f>
        <v>1</v>
      </c>
      <c r="K624" s="225" t="n">
        <f aca="false">_xlfn.IFNA(IF(B624&gt;=$K$11, 1,0),0)</f>
        <v>1</v>
      </c>
      <c r="L624" s="60" t="str">
        <f aca="false">IF(I624=0,1,"")</f>
        <v/>
      </c>
      <c r="P624" s="4"/>
      <c r="V624" s="71"/>
    </row>
    <row r="625" customFormat="false" ht="12.75" hidden="false" customHeight="true" outlineLevel="0" collapsed="false">
      <c r="A625" s="228" t="e">
        <f aca="false">IF(OR(G624="",G624&lt;=0,C624&gt;150),NA(),A624+1)</f>
        <v>#N/A</v>
      </c>
      <c r="B625" s="229" t="str">
        <f aca="false">IF(ISERROR(A625),"",IF($D$9="Annually",EDATE(B624,12),EDATE(B624,1)))</f>
        <v/>
      </c>
      <c r="C625" s="230" t="str">
        <f aca="false">IF(ISERROR(A625),"",C624+IF($D$9="Monthly",1/12,1))</f>
        <v/>
      </c>
      <c r="D625" s="231" t="n">
        <f aca="false">IF(L624&lt;&gt;1, IF(G624&lt;E624,0,D624),IF(L624=1,IFERROR(ROUND(IF($G624 - (E624 * 6) &lt; 0, D624, ($G624 - (E624 * 6)) * $D$8 / 12),2),0) ) )</f>
        <v>0</v>
      </c>
      <c r="E625" s="231" t="n">
        <f aca="false">IF(ISERROR(A625), 0,  MAX(0,   MIN(    ROUND(G624 + D625, 2),    ROUND(FV($S$5, IF(type=1, A625, A624), , IF(J625&lt;&gt;1, -$D$20, -$P$16 + P625), 2), 0)   )  ) )</f>
        <v>0</v>
      </c>
      <c r="F625" s="231" t="n">
        <f aca="false">IF(J625&lt;&gt;1, "", IF(J624&lt;&gt;0, F624, $K$12))</f>
        <v>1</v>
      </c>
      <c r="G625" s="232" t="str">
        <f aca="false">IF(ISERROR(A625),"",ROUND(G624-E625+D625,2))</f>
        <v/>
      </c>
      <c r="H625" s="237" t="str">
        <f aca="false">IF(G625&gt;0,IFERROR(H624+(H624*($D$16/12)),""),"")</f>
        <v/>
      </c>
      <c r="I625" s="223" t="str">
        <f aca="false">IF(ISERROR(A626),"",12 - MONTH(B625))</f>
        <v/>
      </c>
      <c r="J625" s="224" t="n">
        <f aca="false">K625</f>
        <v>1</v>
      </c>
      <c r="K625" s="225" t="n">
        <f aca="false">_xlfn.IFNA(IF(B625&gt;=$K$11, 1,0),0)</f>
        <v>1</v>
      </c>
      <c r="L625" s="60" t="str">
        <f aca="false">IF(I625=0,1,"")</f>
        <v/>
      </c>
      <c r="P625" s="4"/>
      <c r="V625" s="71"/>
    </row>
    <row r="626" customFormat="false" ht="12.75" hidden="false" customHeight="true" outlineLevel="0" collapsed="false">
      <c r="A626" s="228" t="e">
        <f aca="false">IF(OR(G625="",G625&lt;=0,C625&gt;150),NA(),A625+1)</f>
        <v>#N/A</v>
      </c>
      <c r="B626" s="229" t="str">
        <f aca="false">IF(ISERROR(A626),"",IF($D$9="Annually",EDATE(B625,12),EDATE(B625,1)))</f>
        <v/>
      </c>
      <c r="C626" s="230" t="str">
        <f aca="false">IF(ISERROR(A626),"",C625+IF($D$9="Monthly",1/12,1))</f>
        <v/>
      </c>
      <c r="D626" s="231" t="n">
        <f aca="false">IF(L625&lt;&gt;1, IF(G625&lt;E625,0,D625),IF(L625=1,IFERROR(ROUND(IF($G625 - (E625 * 6) &lt; 0, D625, ($G625 - (E625 * 6)) * $D$8 / 12),2),0) ) )</f>
        <v>0</v>
      </c>
      <c r="E626" s="231" t="n">
        <f aca="false">IF(ISERROR(A626), 0,  MAX(0,   MIN(    ROUND(G625 + D626, 2),    ROUND(FV($S$5, IF(type=1, A626, A625), , IF(J626&lt;&gt;1, -$D$20, -$P$16 + P626), 2), 0)   )  ) )</f>
        <v>0</v>
      </c>
      <c r="F626" s="231" t="n">
        <f aca="false">IF(J626&lt;&gt;1, "", IF(J625&lt;&gt;0, F625, $K$12))</f>
        <v>1</v>
      </c>
      <c r="G626" s="232" t="str">
        <f aca="false">IF(ISERROR(A626),"",ROUND(G625-E626+D626,2))</f>
        <v/>
      </c>
      <c r="H626" s="237" t="str">
        <f aca="false">IF(G626&gt;0,IFERROR(H625+(H625*($D$16/12)),""),"")</f>
        <v/>
      </c>
      <c r="I626" s="223" t="str">
        <f aca="false">IF(ISERROR(A627),"",12 - MONTH(B626))</f>
        <v/>
      </c>
      <c r="J626" s="224" t="n">
        <f aca="false">K626</f>
        <v>1</v>
      </c>
      <c r="K626" s="225" t="n">
        <f aca="false">_xlfn.IFNA(IF(B626&gt;=$K$11, 1,0),0)</f>
        <v>1</v>
      </c>
      <c r="L626" s="60" t="str">
        <f aca="false">IF(I626=0,1,"")</f>
        <v/>
      </c>
      <c r="P626" s="4"/>
      <c r="V626" s="71"/>
    </row>
    <row r="627" customFormat="false" ht="12.75" hidden="false" customHeight="true" outlineLevel="0" collapsed="false">
      <c r="A627" s="228" t="e">
        <f aca="false">IF(OR(G626="",G626&lt;=0,C626&gt;150),NA(),A626+1)</f>
        <v>#N/A</v>
      </c>
      <c r="B627" s="229" t="str">
        <f aca="false">IF(ISERROR(A627),"",IF($D$9="Annually",EDATE(B626,12),EDATE(B626,1)))</f>
        <v/>
      </c>
      <c r="C627" s="230" t="str">
        <f aca="false">IF(ISERROR(A627),"",C626+IF($D$9="Monthly",1/12,1))</f>
        <v/>
      </c>
      <c r="D627" s="231" t="n">
        <f aca="false">IF(L626&lt;&gt;1, IF(G626&lt;E626,0,D626),IF(L626=1,IFERROR(ROUND(IF($G626 - (E626 * 6) &lt; 0, D626, ($G626 - (E626 * 6)) * $D$8 / 12),2),0) ) )</f>
        <v>0</v>
      </c>
      <c r="E627" s="231" t="n">
        <f aca="false">IF(ISERROR(A627), 0,  MAX(0,   MIN(    ROUND(G626 + D627, 2),    ROUND(FV($S$5, IF(type=1, A627, A626), , IF(J627&lt;&gt;1, -$D$20, -$P$16 + P627), 2), 0)   )  ) )</f>
        <v>0</v>
      </c>
      <c r="F627" s="231" t="n">
        <f aca="false">IF(J627&lt;&gt;1, "", IF(J626&lt;&gt;0, F626, $K$12))</f>
        <v>1</v>
      </c>
      <c r="G627" s="232" t="str">
        <f aca="false">IF(ISERROR(A627),"",ROUND(G626-E627+D627,2))</f>
        <v/>
      </c>
      <c r="H627" s="237" t="str">
        <f aca="false">IF(G627&gt;0,IFERROR(H626+(H626*($D$16/12)),""),"")</f>
        <v/>
      </c>
      <c r="I627" s="223" t="str">
        <f aca="false">IF(ISERROR(A628),"",12 - MONTH(B627))</f>
        <v/>
      </c>
      <c r="J627" s="224" t="n">
        <f aca="false">K627</f>
        <v>1</v>
      </c>
      <c r="K627" s="225" t="n">
        <f aca="false">_xlfn.IFNA(IF(B627&gt;=$K$11, 1,0),0)</f>
        <v>1</v>
      </c>
      <c r="L627" s="60" t="str">
        <f aca="false">IF(I627=0,1,"")</f>
        <v/>
      </c>
      <c r="P627" s="4"/>
      <c r="V627" s="71"/>
    </row>
    <row r="628" customFormat="false" ht="12.75" hidden="false" customHeight="true" outlineLevel="0" collapsed="false">
      <c r="A628" s="228" t="e">
        <f aca="false">IF(OR(G627="",G627&lt;=0,C627&gt;150),NA(),A627+1)</f>
        <v>#N/A</v>
      </c>
      <c r="B628" s="229" t="str">
        <f aca="false">IF(ISERROR(A628),"",IF($D$9="Annually",EDATE(B627,12),EDATE(B627,1)))</f>
        <v/>
      </c>
      <c r="C628" s="230" t="str">
        <f aca="false">IF(ISERROR(A628),"",C627+IF($D$9="Monthly",1/12,1))</f>
        <v/>
      </c>
      <c r="D628" s="231" t="n">
        <f aca="false">IF(L627&lt;&gt;1, IF(G627&lt;E627,0,D627),IF(L627=1,IFERROR(ROUND(IF($G627 - (E627 * 6) &lt; 0, D627, ($G627 - (E627 * 6)) * $D$8 / 12),2),0) ) )</f>
        <v>0</v>
      </c>
      <c r="E628" s="231" t="n">
        <f aca="false">IF(ISERROR(A628), 0,  MAX(0,   MIN(    ROUND(G627 + D628, 2),    ROUND(FV($S$5, IF(type=1, A628, A627), , IF(J628&lt;&gt;1, -$D$20, -$P$16 + P628), 2), 0)   )  ) )</f>
        <v>0</v>
      </c>
      <c r="F628" s="231" t="n">
        <f aca="false">IF(J628&lt;&gt;1, "", IF(J627&lt;&gt;0, F627, $K$12))</f>
        <v>1</v>
      </c>
      <c r="G628" s="232" t="str">
        <f aca="false">IF(ISERROR(A628),"",ROUND(G627-E628+D628,2))</f>
        <v/>
      </c>
      <c r="H628" s="237" t="str">
        <f aca="false">IF(G628&gt;0,IFERROR(H627+(H627*($D$16/12)),""),"")</f>
        <v/>
      </c>
      <c r="I628" s="223" t="str">
        <f aca="false">IF(ISERROR(A629),"",12 - MONTH(B628))</f>
        <v/>
      </c>
      <c r="J628" s="224" t="n">
        <f aca="false">K628</f>
        <v>1</v>
      </c>
      <c r="K628" s="225" t="n">
        <f aca="false">_xlfn.IFNA(IF(B628&gt;=$K$11, 1,0),0)</f>
        <v>1</v>
      </c>
      <c r="L628" s="60" t="str">
        <f aca="false">IF(I628=0,1,"")</f>
        <v/>
      </c>
      <c r="P628" s="4"/>
      <c r="V628" s="71"/>
    </row>
    <row r="629" customFormat="false" ht="12.75" hidden="false" customHeight="true" outlineLevel="0" collapsed="false">
      <c r="A629" s="228" t="e">
        <f aca="false">IF(OR(G628="",G628&lt;=0,C628&gt;150),NA(),A628+1)</f>
        <v>#N/A</v>
      </c>
      <c r="B629" s="229" t="str">
        <f aca="false">IF(ISERROR(A629),"",IF($D$9="Annually",EDATE(B628,12),EDATE(B628,1)))</f>
        <v/>
      </c>
      <c r="C629" s="230" t="str">
        <f aca="false">IF(ISERROR(A629),"",C628+IF($D$9="Monthly",1/12,1))</f>
        <v/>
      </c>
      <c r="D629" s="231" t="n">
        <f aca="false">IF(L628&lt;&gt;1, IF(G628&lt;E628,0,D628),IF(L628=1,IFERROR(ROUND(IF($G628 - (E628 * 6) &lt; 0, D628, ($G628 - (E628 * 6)) * $D$8 / 12),2),0) ) )</f>
        <v>0</v>
      </c>
      <c r="E629" s="231" t="n">
        <f aca="false">IF(ISERROR(A629), 0,  MAX(0,   MIN(    ROUND(G628 + D629, 2),    ROUND(FV($S$5, IF(type=1, A629, A628), , IF(J629&lt;&gt;1, -$D$20, -$P$16 + P629), 2), 0)   )  ) )</f>
        <v>0</v>
      </c>
      <c r="F629" s="231" t="n">
        <f aca="false">IF(J629&lt;&gt;1, "", IF(J628&lt;&gt;0, F628, $K$12))</f>
        <v>1</v>
      </c>
      <c r="G629" s="232" t="str">
        <f aca="false">IF(ISERROR(A629),"",ROUND(G628-E629+D629,2))</f>
        <v/>
      </c>
      <c r="H629" s="237" t="str">
        <f aca="false">IF(G629&gt;0,IFERROR(H628+(H628*($D$16/12)),""),"")</f>
        <v/>
      </c>
      <c r="I629" s="223" t="str">
        <f aca="false">IF(ISERROR(A630),"",12 - MONTH(B629))</f>
        <v/>
      </c>
      <c r="J629" s="224" t="n">
        <f aca="false">K629</f>
        <v>1</v>
      </c>
      <c r="K629" s="225" t="n">
        <f aca="false">_xlfn.IFNA(IF(B629&gt;=$K$11, 1,0),0)</f>
        <v>1</v>
      </c>
      <c r="L629" s="60" t="str">
        <f aca="false">IF(I629=0,1,"")</f>
        <v/>
      </c>
      <c r="P629" s="4"/>
      <c r="V629" s="71"/>
    </row>
    <row r="630" customFormat="false" ht="12.75" hidden="false" customHeight="true" outlineLevel="0" collapsed="false">
      <c r="A630" s="228" t="e">
        <f aca="false">IF(OR(G629="",G629&lt;=0,C629&gt;150),NA(),A629+1)</f>
        <v>#N/A</v>
      </c>
      <c r="B630" s="229" t="str">
        <f aca="false">IF(ISERROR(A630),"",IF($D$9="Annually",EDATE(B629,12),EDATE(B629,1)))</f>
        <v/>
      </c>
      <c r="C630" s="230" t="str">
        <f aca="false">IF(ISERROR(A630),"",C629+IF($D$9="Monthly",1/12,1))</f>
        <v/>
      </c>
      <c r="D630" s="231" t="n">
        <f aca="false">IF(L629&lt;&gt;1, IF(G629&lt;E629,0,D629),IF(L629=1,IFERROR(ROUND(IF($G629 - (E629 * 6) &lt; 0, D629, ($G629 - (E629 * 6)) * $D$8 / 12),2),0) ) )</f>
        <v>0</v>
      </c>
      <c r="E630" s="231" t="n">
        <f aca="false">IF(ISERROR(A630), 0,  MAX(0,   MIN(    ROUND(G629 + D630, 2),    ROUND(FV($S$5, IF(type=1, A630, A629), , IF(J630&lt;&gt;1, -$D$20, -$P$16 + P630), 2), 0)   )  ) )</f>
        <v>0</v>
      </c>
      <c r="F630" s="231" t="n">
        <f aca="false">IF(J630&lt;&gt;1, "", IF(J629&lt;&gt;0, F629, $K$12))</f>
        <v>1</v>
      </c>
      <c r="G630" s="232" t="str">
        <f aca="false">IF(ISERROR(A630),"",ROUND(G629-E630+D630,2))</f>
        <v/>
      </c>
      <c r="H630" s="237" t="str">
        <f aca="false">IF(G630&gt;0,IFERROR(H629+(H629*($D$16/12)),""),"")</f>
        <v/>
      </c>
      <c r="I630" s="223" t="str">
        <f aca="false">IF(ISERROR(A631),"",12 - MONTH(B630))</f>
        <v/>
      </c>
      <c r="J630" s="224" t="n">
        <f aca="false">K630</f>
        <v>1</v>
      </c>
      <c r="K630" s="225" t="n">
        <f aca="false">_xlfn.IFNA(IF(B630&gt;=$K$11, 1,0),0)</f>
        <v>1</v>
      </c>
      <c r="L630" s="60" t="str">
        <f aca="false">IF(I630=0,1,"")</f>
        <v/>
      </c>
      <c r="P630" s="4"/>
      <c r="V630" s="71"/>
    </row>
    <row r="631" customFormat="false" ht="12.75" hidden="false" customHeight="true" outlineLevel="0" collapsed="false">
      <c r="A631" s="228" t="e">
        <f aca="false">IF(OR(G630="",G630&lt;=0,C630&gt;150),NA(),A630+1)</f>
        <v>#N/A</v>
      </c>
      <c r="B631" s="229" t="str">
        <f aca="false">IF(ISERROR(A631),"",IF($D$9="Annually",EDATE(B630,12),EDATE(B630,1)))</f>
        <v/>
      </c>
      <c r="C631" s="230" t="str">
        <f aca="false">IF(ISERROR(A631),"",C630+IF($D$9="Monthly",1/12,1))</f>
        <v/>
      </c>
      <c r="D631" s="231" t="n">
        <f aca="false">IF(L630&lt;&gt;1, IF(G630&lt;E630,0,D630),IF(L630=1,IFERROR(ROUND(IF($G630 - (E630 * 6) &lt; 0, D630, ($G630 - (E630 * 6)) * $D$8 / 12),2),0) ) )</f>
        <v>0</v>
      </c>
      <c r="E631" s="231" t="n">
        <f aca="false">IF(ISERROR(A631), 0,  MAX(0,   MIN(    ROUND(G630 + D631, 2),    ROUND(FV($S$5, IF(type=1, A631, A630), , IF(J631&lt;&gt;1, -$D$20, -$P$16 + P631), 2), 0)   )  ) )</f>
        <v>0</v>
      </c>
      <c r="F631" s="231" t="n">
        <f aca="false">IF(J631&lt;&gt;1, "", IF(J630&lt;&gt;0, F630, $K$12))</f>
        <v>1</v>
      </c>
      <c r="G631" s="232" t="str">
        <f aca="false">IF(ISERROR(A631),"",ROUND(G630-E631+D631,2))</f>
        <v/>
      </c>
      <c r="H631" s="237" t="str">
        <f aca="false">IF(G631&gt;0,IFERROR(H630+(H630*($D$16/12)),""),"")</f>
        <v/>
      </c>
      <c r="I631" s="223" t="str">
        <f aca="false">IF(ISERROR(A632),"",12 - MONTH(B631))</f>
        <v/>
      </c>
      <c r="J631" s="224" t="n">
        <f aca="false">K631</f>
        <v>1</v>
      </c>
      <c r="K631" s="225" t="n">
        <f aca="false">_xlfn.IFNA(IF(B631&gt;=$K$11, 1,0),0)</f>
        <v>1</v>
      </c>
      <c r="L631" s="60" t="str">
        <f aca="false">IF(I631=0,1,"")</f>
        <v/>
      </c>
      <c r="P631" s="4"/>
      <c r="V631" s="71"/>
    </row>
    <row r="632" customFormat="false" ht="12.75" hidden="false" customHeight="true" outlineLevel="0" collapsed="false">
      <c r="A632" s="228" t="e">
        <f aca="false">IF(OR(G631="",G631&lt;=0,C631&gt;150),NA(),A631+1)</f>
        <v>#N/A</v>
      </c>
      <c r="B632" s="229" t="str">
        <f aca="false">IF(ISERROR(A632),"",IF($D$9="Annually",EDATE(B631,12),EDATE(B631,1)))</f>
        <v/>
      </c>
      <c r="C632" s="230" t="str">
        <f aca="false">IF(ISERROR(A632),"",C631+IF($D$9="Monthly",1/12,1))</f>
        <v/>
      </c>
      <c r="D632" s="231" t="n">
        <f aca="false">IF(L631&lt;&gt;1, IF(G631&lt;E631,0,D631),IF(L631=1,IFERROR(ROUND(IF($G631 - (E631 * 6) &lt; 0, D631, ($G631 - (E631 * 6)) * $D$8 / 12),2),0) ) )</f>
        <v>0</v>
      </c>
      <c r="E632" s="231" t="n">
        <f aca="false">IF(ISERROR(A632), 0,  MAX(0,   MIN(    ROUND(G631 + D632, 2),    ROUND(FV($S$5, IF(type=1, A632, A631), , IF(J632&lt;&gt;1, -$D$20, -$P$16 + P632), 2), 0)   )  ) )</f>
        <v>0</v>
      </c>
      <c r="F632" s="231" t="n">
        <f aca="false">IF(J632&lt;&gt;1, "", IF(J631&lt;&gt;0, F631, $K$12))</f>
        <v>1</v>
      </c>
      <c r="G632" s="232" t="str">
        <f aca="false">IF(ISERROR(A632),"",ROUND(G631-E632+D632,2))</f>
        <v/>
      </c>
      <c r="H632" s="237" t="str">
        <f aca="false">IF(G632&gt;0,IFERROR(H631+(H631*($D$16/12)),""),"")</f>
        <v/>
      </c>
      <c r="I632" s="223" t="str">
        <f aca="false">IF(ISERROR(A633),"",12 - MONTH(B632))</f>
        <v/>
      </c>
      <c r="J632" s="224" t="n">
        <f aca="false">K632</f>
        <v>1</v>
      </c>
      <c r="K632" s="225" t="n">
        <f aca="false">_xlfn.IFNA(IF(B632&gt;=$K$11, 1,0),0)</f>
        <v>1</v>
      </c>
      <c r="L632" s="60" t="str">
        <f aca="false">IF(I632=0,1,"")</f>
        <v/>
      </c>
      <c r="P632" s="4"/>
      <c r="V632" s="71"/>
    </row>
    <row r="633" customFormat="false" ht="12.75" hidden="false" customHeight="true" outlineLevel="0" collapsed="false">
      <c r="A633" s="228" t="e">
        <f aca="false">IF(OR(G632="",G632&lt;=0,C632&gt;150),NA(),A632+1)</f>
        <v>#N/A</v>
      </c>
      <c r="B633" s="229" t="str">
        <f aca="false">IF(ISERROR(A633),"",IF($D$9="Annually",EDATE(B632,12),EDATE(B632,1)))</f>
        <v/>
      </c>
      <c r="C633" s="230" t="str">
        <f aca="false">IF(ISERROR(A633),"",C632+IF($D$9="Monthly",1/12,1))</f>
        <v/>
      </c>
      <c r="D633" s="231" t="n">
        <f aca="false">IF(L632&lt;&gt;1, IF(G632&lt;E632,0,D632),IF(L632=1,IFERROR(ROUND(IF($G632 - (E632 * 6) &lt; 0, D632, ($G632 - (E632 * 6)) * $D$8 / 12),2),0) ) )</f>
        <v>0</v>
      </c>
      <c r="E633" s="231" t="n">
        <f aca="false">IF(ISERROR(A633), 0,  MAX(0,   MIN(    ROUND(G632 + D633, 2),    ROUND(FV($S$5, IF(type=1, A633, A632), , IF(J633&lt;&gt;1, -$D$20, -$P$16 + P633), 2), 0)   )  ) )</f>
        <v>0</v>
      </c>
      <c r="F633" s="231" t="n">
        <f aca="false">IF(J633&lt;&gt;1, "", IF(J632&lt;&gt;0, F632, $K$12))</f>
        <v>1</v>
      </c>
      <c r="G633" s="232" t="str">
        <f aca="false">IF(ISERROR(A633),"",ROUND(G632-E633+D633,2))</f>
        <v/>
      </c>
      <c r="H633" s="237" t="str">
        <f aca="false">IF(G633&gt;0,IFERROR(H632+(H632*($D$16/12)),""),"")</f>
        <v/>
      </c>
      <c r="I633" s="223" t="str">
        <f aca="false">IF(ISERROR(A634),"",12 - MONTH(B633))</f>
        <v/>
      </c>
      <c r="J633" s="224" t="n">
        <f aca="false">K633</f>
        <v>1</v>
      </c>
      <c r="K633" s="225" t="n">
        <f aca="false">_xlfn.IFNA(IF(B633&gt;=$K$11, 1,0),0)</f>
        <v>1</v>
      </c>
      <c r="L633" s="60" t="str">
        <f aca="false">IF(I633=0,1,"")</f>
        <v/>
      </c>
      <c r="P633" s="4"/>
      <c r="V633" s="71"/>
    </row>
    <row r="634" customFormat="false" ht="12.75" hidden="false" customHeight="true" outlineLevel="0" collapsed="false">
      <c r="A634" s="228" t="e">
        <f aca="false">IF(OR(G633="",G633&lt;=0,C633&gt;150),NA(),A633+1)</f>
        <v>#N/A</v>
      </c>
      <c r="B634" s="229" t="str">
        <f aca="false">IF(ISERROR(A634),"",IF($D$9="Annually",EDATE(B633,12),EDATE(B633,1)))</f>
        <v/>
      </c>
      <c r="C634" s="230" t="str">
        <f aca="false">IF(ISERROR(A634),"",C633+IF($D$9="Monthly",1/12,1))</f>
        <v/>
      </c>
      <c r="D634" s="231" t="n">
        <f aca="false">IF(L633&lt;&gt;1, IF(G633&lt;E633,0,D633),IF(L633=1,IFERROR(ROUND(IF($G633 - (E633 * 6) &lt; 0, D633, ($G633 - (E633 * 6)) * $D$8 / 12),2),0) ) )</f>
        <v>0</v>
      </c>
      <c r="E634" s="231" t="n">
        <f aca="false">IF(ISERROR(A634), 0,  MAX(0,   MIN(    ROUND(G633 + D634, 2),    ROUND(FV($S$5, IF(type=1, A634, A633), , IF(J634&lt;&gt;1, -$D$20, -$P$16 + P634), 2), 0)   )  ) )</f>
        <v>0</v>
      </c>
      <c r="F634" s="231" t="n">
        <f aca="false">IF(J634&lt;&gt;1, "", IF(J633&lt;&gt;0, F633, $K$12))</f>
        <v>1</v>
      </c>
      <c r="G634" s="232" t="str">
        <f aca="false">IF(ISERROR(A634),"",ROUND(G633-E634+D634,2))</f>
        <v/>
      </c>
      <c r="H634" s="237" t="str">
        <f aca="false">IF(G634&gt;0,IFERROR(H633+(H633*($D$16/12)),""),"")</f>
        <v/>
      </c>
      <c r="I634" s="223" t="str">
        <f aca="false">IF(ISERROR(A635),"",12 - MONTH(B634))</f>
        <v/>
      </c>
      <c r="J634" s="224" t="n">
        <f aca="false">K634</f>
        <v>1</v>
      </c>
      <c r="K634" s="225" t="n">
        <f aca="false">_xlfn.IFNA(IF(B634&gt;=$K$11, 1,0),0)</f>
        <v>1</v>
      </c>
      <c r="L634" s="60" t="str">
        <f aca="false">IF(I634=0,1,"")</f>
        <v/>
      </c>
      <c r="P634" s="4"/>
      <c r="V634" s="71"/>
    </row>
    <row r="635" customFormat="false" ht="12.75" hidden="false" customHeight="true" outlineLevel="0" collapsed="false">
      <c r="A635" s="228" t="e">
        <f aca="false">IF(OR(G634="",G634&lt;=0,C634&gt;150),NA(),A634+1)</f>
        <v>#N/A</v>
      </c>
      <c r="B635" s="229" t="str">
        <f aca="false">IF(ISERROR(A635),"",IF($D$9="Annually",EDATE(B634,12),EDATE(B634,1)))</f>
        <v/>
      </c>
      <c r="C635" s="230" t="str">
        <f aca="false">IF(ISERROR(A635),"",C634+IF($D$9="Monthly",1/12,1))</f>
        <v/>
      </c>
      <c r="D635" s="231" t="n">
        <f aca="false">IF(L634&lt;&gt;1, IF(G634&lt;E634,0,D634),IF(L634=1,IFERROR(ROUND(IF($G634 - (E634 * 6) &lt; 0, D634, ($G634 - (E634 * 6)) * $D$8 / 12),2),0) ) )</f>
        <v>0</v>
      </c>
      <c r="E635" s="231" t="n">
        <f aca="false">IF(ISERROR(A635), 0,  MAX(0,   MIN(    ROUND(G634 + D635, 2),    ROUND(FV($S$5, IF(type=1, A635, A634), , IF(J635&lt;&gt;1, -$D$20, -$P$16 + P635), 2), 0)   )  ) )</f>
        <v>0</v>
      </c>
      <c r="F635" s="231" t="n">
        <f aca="false">IF(J635&lt;&gt;1, "", IF(J634&lt;&gt;0, F634, $K$12))</f>
        <v>1</v>
      </c>
      <c r="G635" s="232" t="str">
        <f aca="false">IF(ISERROR(A635),"",ROUND(G634-E635+D635,2))</f>
        <v/>
      </c>
      <c r="H635" s="237" t="str">
        <f aca="false">IF(G635&gt;0,IFERROR(H634+(H634*($D$16/12)),""),"")</f>
        <v/>
      </c>
      <c r="I635" s="223" t="str">
        <f aca="false">IF(ISERROR(A636),"",12 - MONTH(B635))</f>
        <v/>
      </c>
      <c r="J635" s="224" t="n">
        <f aca="false">K635</f>
        <v>1</v>
      </c>
      <c r="K635" s="225" t="n">
        <f aca="false">_xlfn.IFNA(IF(B635&gt;=$K$11, 1,0),0)</f>
        <v>1</v>
      </c>
      <c r="L635" s="60" t="str">
        <f aca="false">IF(I635=0,1,"")</f>
        <v/>
      </c>
      <c r="P635" s="4"/>
      <c r="V635" s="71"/>
    </row>
    <row r="636" customFormat="false" ht="12.75" hidden="false" customHeight="true" outlineLevel="0" collapsed="false">
      <c r="A636" s="228" t="e">
        <f aca="false">IF(OR(G635="",G635&lt;=0,C635&gt;150),NA(),A635+1)</f>
        <v>#N/A</v>
      </c>
      <c r="B636" s="229" t="str">
        <f aca="false">IF(ISERROR(A636),"",IF($D$9="Annually",EDATE(B635,12),EDATE(B635,1)))</f>
        <v/>
      </c>
      <c r="C636" s="230" t="str">
        <f aca="false">IF(ISERROR(A636),"",C635+IF($D$9="Monthly",1/12,1))</f>
        <v/>
      </c>
      <c r="D636" s="231" t="n">
        <f aca="false">IF(L635&lt;&gt;1, IF(G635&lt;E635,0,D635),IF(L635=1,IFERROR(ROUND(IF($G635 - (E635 * 6) &lt; 0, D635, ($G635 - (E635 * 6)) * $D$8 / 12),2),0) ) )</f>
        <v>0</v>
      </c>
      <c r="E636" s="231" t="n">
        <f aca="false">IF(ISERROR(A636), 0,  MAX(0,   MIN(    ROUND(G635 + D636, 2),    ROUND(FV($S$5, IF(type=1, A636, A635), , IF(J636&lt;&gt;1, -$D$20, -$P$16 + P636), 2), 0)   )  ) )</f>
        <v>0</v>
      </c>
      <c r="F636" s="231" t="n">
        <f aca="false">IF(J636&lt;&gt;1, "", IF(J635&lt;&gt;0, F635, $K$12))</f>
        <v>1</v>
      </c>
      <c r="G636" s="232" t="str">
        <f aca="false">IF(ISERROR(A636),"",ROUND(G635-E636+D636,2))</f>
        <v/>
      </c>
      <c r="H636" s="237" t="str">
        <f aca="false">IF(G636&gt;0,IFERROR(H635+(H635*($D$16/12)),""),"")</f>
        <v/>
      </c>
      <c r="I636" s="223" t="str">
        <f aca="false">IF(ISERROR(A637),"",12 - MONTH(B636))</f>
        <v/>
      </c>
      <c r="J636" s="224" t="n">
        <f aca="false">K636</f>
        <v>1</v>
      </c>
      <c r="K636" s="225" t="n">
        <f aca="false">_xlfn.IFNA(IF(B636&gt;=$K$11, 1,0),0)</f>
        <v>1</v>
      </c>
      <c r="L636" s="60" t="str">
        <f aca="false">IF(I636=0,1,"")</f>
        <v/>
      </c>
      <c r="P636" s="4"/>
      <c r="V636" s="71"/>
    </row>
    <row r="637" customFormat="false" ht="12.75" hidden="false" customHeight="true" outlineLevel="0" collapsed="false">
      <c r="A637" s="228" t="e">
        <f aca="false">IF(OR(G636="",G636&lt;=0,C636&gt;150),NA(),A636+1)</f>
        <v>#N/A</v>
      </c>
      <c r="B637" s="229" t="str">
        <f aca="false">IF(ISERROR(A637),"",IF($D$9="Annually",EDATE(B636,12),EDATE(B636,1)))</f>
        <v/>
      </c>
      <c r="C637" s="230" t="str">
        <f aca="false">IF(ISERROR(A637),"",C636+IF($D$9="Monthly",1/12,1))</f>
        <v/>
      </c>
      <c r="D637" s="231" t="n">
        <f aca="false">IF(L636&lt;&gt;1, IF(G636&lt;E636,0,D636),IF(L636=1,IFERROR(ROUND(IF($G636 - (E636 * 6) &lt; 0, D636, ($G636 - (E636 * 6)) * $D$8 / 12),2),0) ) )</f>
        <v>0</v>
      </c>
      <c r="E637" s="231" t="n">
        <f aca="false">IF(ISERROR(A637), 0,  MAX(0,   MIN(    ROUND(G636 + D637, 2),    ROUND(FV($S$5, IF(type=1, A637, A636), , IF(J637&lt;&gt;1, -$D$20, -$P$16 + P637), 2), 0)   )  ) )</f>
        <v>0</v>
      </c>
      <c r="F637" s="231" t="n">
        <f aca="false">IF(J637&lt;&gt;1, "", IF(J636&lt;&gt;0, F636, $K$12))</f>
        <v>1</v>
      </c>
      <c r="G637" s="232" t="str">
        <f aca="false">IF(ISERROR(A637),"",ROUND(G636-E637+D637,2))</f>
        <v/>
      </c>
      <c r="H637" s="237" t="str">
        <f aca="false">IF(G637&gt;0,IFERROR(H636+(H636*($D$16/12)),""),"")</f>
        <v/>
      </c>
      <c r="I637" s="223" t="str">
        <f aca="false">IF(ISERROR(A638),"",12 - MONTH(B637))</f>
        <v/>
      </c>
      <c r="J637" s="224" t="n">
        <f aca="false">K637</f>
        <v>1</v>
      </c>
      <c r="K637" s="225" t="n">
        <f aca="false">_xlfn.IFNA(IF(B637&gt;=$K$11, 1,0),0)</f>
        <v>1</v>
      </c>
      <c r="L637" s="60" t="str">
        <f aca="false">IF(I637=0,1,"")</f>
        <v/>
      </c>
      <c r="P637" s="4"/>
      <c r="V637" s="71"/>
    </row>
    <row r="638" customFormat="false" ht="12.75" hidden="false" customHeight="true" outlineLevel="0" collapsed="false">
      <c r="A638" s="228" t="e">
        <f aca="false">IF(OR(G637="",G637&lt;=0,C637&gt;150),NA(),A637+1)</f>
        <v>#N/A</v>
      </c>
      <c r="B638" s="229" t="str">
        <f aca="false">IF(ISERROR(A638),"",IF($D$9="Annually",EDATE(B637,12),EDATE(B637,1)))</f>
        <v/>
      </c>
      <c r="C638" s="230" t="str">
        <f aca="false">IF(ISERROR(A638),"",C637+IF($D$9="Monthly",1/12,1))</f>
        <v/>
      </c>
      <c r="D638" s="231" t="n">
        <f aca="false">IF(L637&lt;&gt;1, IF(G637&lt;E637,0,D637),IF(L637=1,IFERROR(ROUND(IF($G637 - (E637 * 6) &lt; 0, D637, ($G637 - (E637 * 6)) * $D$8 / 12),2),0) ) )</f>
        <v>0</v>
      </c>
      <c r="E638" s="231" t="n">
        <f aca="false">IF(ISERROR(A638), 0,  MAX(0,   MIN(    ROUND(G637 + D638, 2),    ROUND(FV($S$5, IF(type=1, A638, A637), , IF(J638&lt;&gt;1, -$D$20, -$P$16 + P638), 2), 0)   )  ) )</f>
        <v>0</v>
      </c>
      <c r="F638" s="231" t="n">
        <f aca="false">IF(J638&lt;&gt;1, "", IF(J637&lt;&gt;0, F637, $K$12))</f>
        <v>1</v>
      </c>
      <c r="G638" s="232" t="str">
        <f aca="false">IF(ISERROR(A638),"",ROUND(G637-E638+D638,2))</f>
        <v/>
      </c>
      <c r="H638" s="237" t="str">
        <f aca="false">IF(G638&gt;0,IFERROR(H637+(H637*($D$16/12)),""),"")</f>
        <v/>
      </c>
      <c r="I638" s="223" t="str">
        <f aca="false">IF(ISERROR(A639),"",12 - MONTH(B638))</f>
        <v/>
      </c>
      <c r="J638" s="224" t="n">
        <f aca="false">K638</f>
        <v>1</v>
      </c>
      <c r="K638" s="225" t="n">
        <f aca="false">_xlfn.IFNA(IF(B638&gt;=$K$11, 1,0),0)</f>
        <v>1</v>
      </c>
      <c r="L638" s="60" t="str">
        <f aca="false">IF(I638=0,1,"")</f>
        <v/>
      </c>
      <c r="P638" s="4"/>
      <c r="V638" s="71"/>
    </row>
    <row r="639" customFormat="false" ht="12.75" hidden="false" customHeight="true" outlineLevel="0" collapsed="false">
      <c r="A639" s="228" t="e">
        <f aca="false">IF(OR(G638="",G638&lt;=0,C638&gt;150),NA(),A638+1)</f>
        <v>#N/A</v>
      </c>
      <c r="B639" s="229" t="str">
        <f aca="false">IF(ISERROR(A639),"",IF($D$9="Annually",EDATE(B638,12),EDATE(B638,1)))</f>
        <v/>
      </c>
      <c r="C639" s="230" t="str">
        <f aca="false">IF(ISERROR(A639),"",C638+IF($D$9="Monthly",1/12,1))</f>
        <v/>
      </c>
      <c r="D639" s="231" t="n">
        <f aca="false">IF(L638&lt;&gt;1, IF(G638&lt;E638,0,D638),IF(L638=1,IFERROR(ROUND(IF($G638 - (E638 * 6) &lt; 0, D638, ($G638 - (E638 * 6)) * $D$8 / 12),2),0) ) )</f>
        <v>0</v>
      </c>
      <c r="E639" s="231" t="n">
        <f aca="false">IF(ISERROR(A639), 0,  MAX(0,   MIN(    ROUND(G638 + D639, 2),    ROUND(FV($S$5, IF(type=1, A639, A638), , IF(J639&lt;&gt;1, -$D$20, -$P$16 + P639), 2), 0)   )  ) )</f>
        <v>0</v>
      </c>
      <c r="F639" s="231" t="n">
        <f aca="false">IF(J639&lt;&gt;1, "", IF(J638&lt;&gt;0, F638, $K$12))</f>
        <v>1</v>
      </c>
      <c r="G639" s="232" t="str">
        <f aca="false">IF(ISERROR(A639),"",ROUND(G638-E639+D639,2))</f>
        <v/>
      </c>
      <c r="H639" s="237" t="str">
        <f aca="false">IF(G639&gt;0,IFERROR(H638+(H638*($D$16/12)),""),"")</f>
        <v/>
      </c>
      <c r="I639" s="223" t="str">
        <f aca="false">IF(ISERROR(A640),"",12 - MONTH(B639))</f>
        <v/>
      </c>
      <c r="J639" s="224" t="n">
        <f aca="false">K639</f>
        <v>1</v>
      </c>
      <c r="K639" s="225" t="n">
        <f aca="false">_xlfn.IFNA(IF(B639&gt;=$K$11, 1,0),0)</f>
        <v>1</v>
      </c>
      <c r="L639" s="60" t="str">
        <f aca="false">IF(I639=0,1,"")</f>
        <v/>
      </c>
      <c r="P639" s="4"/>
      <c r="V639" s="71"/>
    </row>
    <row r="640" customFormat="false" ht="12.75" hidden="false" customHeight="true" outlineLevel="0" collapsed="false">
      <c r="A640" s="228" t="e">
        <f aca="false">IF(OR(G639="",G639&lt;=0,C639&gt;150),NA(),A639+1)</f>
        <v>#N/A</v>
      </c>
      <c r="B640" s="229" t="str">
        <f aca="false">IF(ISERROR(A640),"",IF($D$9="Annually",EDATE(B639,12),EDATE(B639,1)))</f>
        <v/>
      </c>
      <c r="C640" s="230" t="str">
        <f aca="false">IF(ISERROR(A640),"",C639+IF($D$9="Monthly",1/12,1))</f>
        <v/>
      </c>
      <c r="D640" s="231" t="n">
        <f aca="false">IF(L639&lt;&gt;1, IF(G639&lt;E639,0,D639),IF(L639=1,IFERROR(ROUND(IF($G639 - (E639 * 6) &lt; 0, D639, ($G639 - (E639 * 6)) * $D$8 / 12),2),0) ) )</f>
        <v>0</v>
      </c>
      <c r="E640" s="231" t="n">
        <f aca="false">IF(ISERROR(A640), 0,  MAX(0,   MIN(    ROUND(G639 + D640, 2),    ROUND(FV($S$5, IF(type=1, A640, A639), , IF(J640&lt;&gt;1, -$D$20, -$P$16 + P640), 2), 0)   )  ) )</f>
        <v>0</v>
      </c>
      <c r="F640" s="231" t="n">
        <f aca="false">IF(J640&lt;&gt;1, "", IF(J639&lt;&gt;0, F639, $K$12))</f>
        <v>1</v>
      </c>
      <c r="G640" s="232" t="str">
        <f aca="false">IF(ISERROR(A640),"",ROUND(G639-E640+D640,2))</f>
        <v/>
      </c>
      <c r="H640" s="237" t="str">
        <f aca="false">IF(G640&gt;0,IFERROR(H639+(H639*($D$16/12)),""),"")</f>
        <v/>
      </c>
      <c r="I640" s="223" t="str">
        <f aca="false">IF(ISERROR(A641),"",12 - MONTH(B640))</f>
        <v/>
      </c>
      <c r="J640" s="224" t="n">
        <f aca="false">K640</f>
        <v>1</v>
      </c>
      <c r="K640" s="225" t="n">
        <f aca="false">_xlfn.IFNA(IF(B640&gt;=$K$11, 1,0),0)</f>
        <v>1</v>
      </c>
      <c r="L640" s="60" t="str">
        <f aca="false">IF(I640=0,1,"")</f>
        <v/>
      </c>
      <c r="P640" s="4"/>
      <c r="V640" s="71"/>
    </row>
    <row r="641" customFormat="false" ht="12.75" hidden="false" customHeight="true" outlineLevel="0" collapsed="false">
      <c r="A641" s="228" t="e">
        <f aca="false">IF(OR(G640="",G640&lt;=0,C640&gt;150),NA(),A640+1)</f>
        <v>#N/A</v>
      </c>
      <c r="B641" s="229" t="str">
        <f aca="false">IF(ISERROR(A641),"",IF($D$9="Annually",EDATE(B640,12),EDATE(B640,1)))</f>
        <v/>
      </c>
      <c r="C641" s="230" t="str">
        <f aca="false">IF(ISERROR(A641),"",C640+IF($D$9="Monthly",1/12,1))</f>
        <v/>
      </c>
      <c r="D641" s="231" t="n">
        <f aca="false">IF(L640&lt;&gt;1, IF(G640&lt;E640,0,D640),IF(L640=1,IFERROR(ROUND(IF($G640 - (E640 * 6) &lt; 0, D640, ($G640 - (E640 * 6)) * $D$8 / 12),2),0) ) )</f>
        <v>0</v>
      </c>
      <c r="E641" s="231" t="n">
        <f aca="false">IF(ISERROR(A641), 0,  MAX(0,   MIN(    ROUND(G640 + D641, 2),    ROUND(FV($S$5, IF(type=1, A641, A640), , IF(J641&lt;&gt;1, -$D$20, -$P$16 + P641), 2), 0)   )  ) )</f>
        <v>0</v>
      </c>
      <c r="F641" s="231" t="n">
        <f aca="false">IF(J641&lt;&gt;1, "", IF(J640&lt;&gt;0, F640, $K$12))</f>
        <v>1</v>
      </c>
      <c r="G641" s="232" t="str">
        <f aca="false">IF(ISERROR(A641),"",ROUND(G640-E641+D641,2))</f>
        <v/>
      </c>
      <c r="H641" s="237" t="str">
        <f aca="false">IF(G641&gt;0,IFERROR(H640+(H640*($D$16/12)),""),"")</f>
        <v/>
      </c>
      <c r="I641" s="223" t="str">
        <f aca="false">IF(ISERROR(A642),"",12 - MONTH(B641))</f>
        <v/>
      </c>
      <c r="J641" s="224" t="n">
        <f aca="false">K641</f>
        <v>1</v>
      </c>
      <c r="K641" s="225" t="n">
        <f aca="false">_xlfn.IFNA(IF(B641&gt;=$K$11, 1,0),0)</f>
        <v>1</v>
      </c>
      <c r="L641" s="60" t="str">
        <f aca="false">IF(I641=0,1,"")</f>
        <v/>
      </c>
      <c r="P641" s="4"/>
      <c r="V641" s="71"/>
    </row>
    <row r="642" customFormat="false" ht="12.75" hidden="false" customHeight="true" outlineLevel="0" collapsed="false">
      <c r="A642" s="228" t="e">
        <f aca="false">IF(OR(G641="",G641&lt;=0,C641&gt;150),NA(),A641+1)</f>
        <v>#N/A</v>
      </c>
      <c r="B642" s="229" t="str">
        <f aca="false">IF(ISERROR(A642),"",IF($D$9="Annually",EDATE(B641,12),EDATE(B641,1)))</f>
        <v/>
      </c>
      <c r="C642" s="230" t="str">
        <f aca="false">IF(ISERROR(A642),"",C641+IF($D$9="Monthly",1/12,1))</f>
        <v/>
      </c>
      <c r="D642" s="231" t="n">
        <f aca="false">IF(L641&lt;&gt;1, IF(G641&lt;E641,0,D641),IF(L641=1,IFERROR(ROUND(IF($G641 - (E641 * 6) &lt; 0, D641, ($G641 - (E641 * 6)) * $D$8 / 12),2),0) ) )</f>
        <v>0</v>
      </c>
      <c r="E642" s="231" t="n">
        <f aca="false">IF(ISERROR(A642), 0,  MAX(0,   MIN(    ROUND(G641 + D642, 2),    ROUND(FV($S$5, IF(type=1, A642, A641), , IF(J642&lt;&gt;1, -$D$20, -$P$16 + P642), 2), 0)   )  ) )</f>
        <v>0</v>
      </c>
      <c r="F642" s="231" t="n">
        <f aca="false">IF(J642&lt;&gt;1, "", IF(J641&lt;&gt;0, F641, $K$12))</f>
        <v>1</v>
      </c>
      <c r="G642" s="232" t="str">
        <f aca="false">IF(ISERROR(A642),"",ROUND(G641-E642+D642,2))</f>
        <v/>
      </c>
      <c r="H642" s="237" t="str">
        <f aca="false">IF(G642&gt;0,IFERROR(H641+(H641*($D$16/12)),""),"")</f>
        <v/>
      </c>
      <c r="I642" s="223" t="str">
        <f aca="false">IF(ISERROR(A643),"",12 - MONTH(B642))</f>
        <v/>
      </c>
      <c r="J642" s="224" t="n">
        <f aca="false">K642</f>
        <v>1</v>
      </c>
      <c r="K642" s="225" t="n">
        <f aca="false">_xlfn.IFNA(IF(B642&gt;=$K$11, 1,0),0)</f>
        <v>1</v>
      </c>
      <c r="L642" s="60" t="str">
        <f aca="false">IF(I642=0,1,"")</f>
        <v/>
      </c>
      <c r="P642" s="4"/>
      <c r="V642" s="71"/>
    </row>
    <row r="643" customFormat="false" ht="12.75" hidden="false" customHeight="true" outlineLevel="0" collapsed="false">
      <c r="A643" s="228" t="e">
        <f aca="false">IF(OR(G642="",G642&lt;=0,C642&gt;150),NA(),A642+1)</f>
        <v>#N/A</v>
      </c>
      <c r="B643" s="229" t="str">
        <f aca="false">IF(ISERROR(A643),"",IF($D$9="Annually",EDATE(B642,12),EDATE(B642,1)))</f>
        <v/>
      </c>
      <c r="C643" s="230" t="str">
        <f aca="false">IF(ISERROR(A643),"",C642+IF($D$9="Monthly",1/12,1))</f>
        <v/>
      </c>
      <c r="D643" s="231" t="n">
        <f aca="false">IF(L642&lt;&gt;1, IF(G642&lt;E642,0,D642),IF(L642=1,IFERROR(ROUND(IF($G642 - (E642 * 6) &lt; 0, D642, ($G642 - (E642 * 6)) * $D$8 / 12),2),0) ) )</f>
        <v>0</v>
      </c>
      <c r="E643" s="231" t="n">
        <f aca="false">IF(ISERROR(A643), 0,  MAX(0,   MIN(    ROUND(G642 + D643, 2),    ROUND(FV($S$5, IF(type=1, A643, A642), , IF(J643&lt;&gt;1, -$D$20, -$P$16 + P643), 2), 0)   )  ) )</f>
        <v>0</v>
      </c>
      <c r="F643" s="231" t="n">
        <f aca="false">IF(J643&lt;&gt;1, "", IF(J642&lt;&gt;0, F642, $K$12))</f>
        <v>1</v>
      </c>
      <c r="G643" s="232" t="str">
        <f aca="false">IF(ISERROR(A643),"",ROUND(G642-E643+D643,2))</f>
        <v/>
      </c>
      <c r="H643" s="237" t="str">
        <f aca="false">IF(G643&gt;0,IFERROR(H642+(H642*($D$16/12)),""),"")</f>
        <v/>
      </c>
      <c r="I643" s="223" t="str">
        <f aca="false">IF(ISERROR(A644),"",12 - MONTH(B643))</f>
        <v/>
      </c>
      <c r="J643" s="224" t="n">
        <f aca="false">K643</f>
        <v>1</v>
      </c>
      <c r="K643" s="225" t="n">
        <f aca="false">_xlfn.IFNA(IF(B643&gt;=$K$11, 1,0),0)</f>
        <v>1</v>
      </c>
      <c r="L643" s="60" t="str">
        <f aca="false">IF(I643=0,1,"")</f>
        <v/>
      </c>
      <c r="P643" s="4"/>
      <c r="V643" s="71"/>
    </row>
    <row r="644" customFormat="false" ht="12.75" hidden="false" customHeight="true" outlineLevel="0" collapsed="false">
      <c r="A644" s="228" t="e">
        <f aca="false">IF(OR(G643="",G643&lt;=0,C643&gt;150),NA(),A643+1)</f>
        <v>#N/A</v>
      </c>
      <c r="B644" s="229" t="str">
        <f aca="false">IF(ISERROR(A644),"",IF($D$9="Annually",EDATE(B643,12),EDATE(B643,1)))</f>
        <v/>
      </c>
      <c r="C644" s="230" t="str">
        <f aca="false">IF(ISERROR(A644),"",C643+IF($D$9="Monthly",1/12,1))</f>
        <v/>
      </c>
      <c r="D644" s="231" t="n">
        <f aca="false">IF(L643&lt;&gt;1, IF(G643&lt;E643,0,D643),IF(L643=1,IFERROR(ROUND(IF($G643 - (E643 * 6) &lt; 0, D643, ($G643 - (E643 * 6)) * $D$8 / 12),2),0) ) )</f>
        <v>0</v>
      </c>
      <c r="E644" s="231" t="n">
        <f aca="false">IF(ISERROR(A644), 0,  MAX(0,   MIN(    ROUND(G643 + D644, 2),    ROUND(FV($S$5, IF(type=1, A644, A643), , IF(J644&lt;&gt;1, -$D$20, -$P$16 + P644), 2), 0)   )  ) )</f>
        <v>0</v>
      </c>
      <c r="F644" s="231" t="n">
        <f aca="false">IF(J644&lt;&gt;1, "", IF(J643&lt;&gt;0, F643, $K$12))</f>
        <v>1</v>
      </c>
      <c r="G644" s="232" t="str">
        <f aca="false">IF(ISERROR(A644),"",ROUND(G643-E644+D644,2))</f>
        <v/>
      </c>
      <c r="H644" s="237" t="str">
        <f aca="false">IF(G644&gt;0,IFERROR(H643+(H643*($D$16/12)),""),"")</f>
        <v/>
      </c>
      <c r="I644" s="223" t="str">
        <f aca="false">IF(ISERROR(A645),"",12 - MONTH(B644))</f>
        <v/>
      </c>
      <c r="J644" s="224" t="n">
        <f aca="false">K644</f>
        <v>1</v>
      </c>
      <c r="K644" s="225" t="n">
        <f aca="false">_xlfn.IFNA(IF(B644&gt;=$K$11, 1,0),0)</f>
        <v>1</v>
      </c>
      <c r="L644" s="60" t="str">
        <f aca="false">IF(I644=0,1,"")</f>
        <v/>
      </c>
      <c r="P644" s="4"/>
      <c r="V644" s="71"/>
    </row>
    <row r="645" customFormat="false" ht="12.75" hidden="false" customHeight="true" outlineLevel="0" collapsed="false">
      <c r="A645" s="228" t="e">
        <f aca="false">IF(OR(G644="",G644&lt;=0,C644&gt;150),NA(),A644+1)</f>
        <v>#N/A</v>
      </c>
      <c r="B645" s="229" t="str">
        <f aca="false">IF(ISERROR(A645),"",IF($D$9="Annually",EDATE(B644,12),EDATE(B644,1)))</f>
        <v/>
      </c>
      <c r="C645" s="230" t="str">
        <f aca="false">IF(ISERROR(A645),"",C644+IF($D$9="Monthly",1/12,1))</f>
        <v/>
      </c>
      <c r="D645" s="231" t="n">
        <f aca="false">IF(L644&lt;&gt;1, IF(G644&lt;E644,0,D644),IF(L644=1,IFERROR(ROUND(IF($G644 - (E644 * 6) &lt; 0, D644, ($G644 - (E644 * 6)) * $D$8 / 12),2),0) ) )</f>
        <v>0</v>
      </c>
      <c r="E645" s="231" t="n">
        <f aca="false">IF(ISERROR(A645), 0,  MAX(0,   MIN(    ROUND(G644 + D645, 2),    ROUND(FV($S$5, IF(type=1, A645, A644), , IF(J645&lt;&gt;1, -$D$20, -$P$16 + P645), 2), 0)   )  ) )</f>
        <v>0</v>
      </c>
      <c r="F645" s="231" t="n">
        <f aca="false">IF(J645&lt;&gt;1, "", IF(J644&lt;&gt;0, F644, $K$12))</f>
        <v>1</v>
      </c>
      <c r="G645" s="232" t="str">
        <f aca="false">IF(ISERROR(A645),"",ROUND(G644-E645+D645,2))</f>
        <v/>
      </c>
      <c r="H645" s="237" t="str">
        <f aca="false">IF(G645&gt;0,IFERROR(H644+(H644*($D$16/12)),""),"")</f>
        <v/>
      </c>
      <c r="I645" s="223" t="str">
        <f aca="false">IF(ISERROR(A646),"",12 - MONTH(B645))</f>
        <v/>
      </c>
      <c r="J645" s="224" t="n">
        <f aca="false">K645</f>
        <v>1</v>
      </c>
      <c r="K645" s="225" t="n">
        <f aca="false">_xlfn.IFNA(IF(B645&gt;=$K$11, 1,0),0)</f>
        <v>1</v>
      </c>
      <c r="L645" s="60" t="str">
        <f aca="false">IF(I645=0,1,"")</f>
        <v/>
      </c>
      <c r="P645" s="4"/>
      <c r="V645" s="71"/>
    </row>
    <row r="646" customFormat="false" ht="12.75" hidden="false" customHeight="true" outlineLevel="0" collapsed="false">
      <c r="A646" s="228" t="e">
        <f aca="false">IF(OR(G645="",G645&lt;=0,C645&gt;150),NA(),A645+1)</f>
        <v>#N/A</v>
      </c>
      <c r="B646" s="229" t="str">
        <f aca="false">IF(ISERROR(A646),"",IF($D$9="Annually",EDATE(B645,12),EDATE(B645,1)))</f>
        <v/>
      </c>
      <c r="C646" s="230" t="str">
        <f aca="false">IF(ISERROR(A646),"",C645+IF($D$9="Monthly",1/12,1))</f>
        <v/>
      </c>
      <c r="D646" s="231" t="n">
        <f aca="false">IF(L645&lt;&gt;1, IF(G645&lt;E645,0,D645),IF(L645=1,IFERROR(ROUND(IF($G645 - (E645 * 6) &lt; 0, D645, ($G645 - (E645 * 6)) * $D$8 / 12),2),0) ) )</f>
        <v>0</v>
      </c>
      <c r="E646" s="231" t="n">
        <f aca="false">IF(ISERROR(A646), 0,  MAX(0,   MIN(    ROUND(G645 + D646, 2),    ROUND(FV($S$5, IF(type=1, A646, A645), , IF(J646&lt;&gt;1, -$D$20, -$P$16 + P646), 2), 0)   )  ) )</f>
        <v>0</v>
      </c>
      <c r="F646" s="231" t="n">
        <f aca="false">IF(J646&lt;&gt;1, "", IF(J645&lt;&gt;0, F645, $K$12))</f>
        <v>1</v>
      </c>
      <c r="G646" s="232" t="str">
        <f aca="false">IF(ISERROR(A646),"",ROUND(G645-E646+D646,2))</f>
        <v/>
      </c>
      <c r="H646" s="237" t="str">
        <f aca="false">IF(G646&gt;0,IFERROR(H645+(H645*($D$16/12)),""),"")</f>
        <v/>
      </c>
      <c r="I646" s="223" t="str">
        <f aca="false">IF(ISERROR(A647),"",12 - MONTH(B646))</f>
        <v/>
      </c>
      <c r="J646" s="224" t="n">
        <f aca="false">K646</f>
        <v>1</v>
      </c>
      <c r="K646" s="225" t="n">
        <f aca="false">_xlfn.IFNA(IF(B646&gt;=$K$11, 1,0),0)</f>
        <v>1</v>
      </c>
      <c r="L646" s="60" t="str">
        <f aca="false">IF(I646=0,1,"")</f>
        <v/>
      </c>
      <c r="P646" s="4"/>
      <c r="V646" s="71"/>
    </row>
    <row r="647" customFormat="false" ht="12.75" hidden="false" customHeight="true" outlineLevel="0" collapsed="false">
      <c r="A647" s="228" t="e">
        <f aca="false">IF(OR(G646="",G646&lt;=0,C646&gt;150),NA(),A646+1)</f>
        <v>#N/A</v>
      </c>
      <c r="B647" s="229" t="str">
        <f aca="false">IF(ISERROR(A647),"",IF($D$9="Annually",EDATE(B646,12),EDATE(B646,1)))</f>
        <v/>
      </c>
      <c r="C647" s="230" t="str">
        <f aca="false">IF(ISERROR(A647),"",C646+IF($D$9="Monthly",1/12,1))</f>
        <v/>
      </c>
      <c r="D647" s="231" t="n">
        <f aca="false">IF(L646&lt;&gt;1, IF(G646&lt;E646,0,D646),IF(L646=1,IFERROR(ROUND(IF($G646 - (E646 * 6) &lt; 0, D646, ($G646 - (E646 * 6)) * $D$8 / 12),2),0) ) )</f>
        <v>0</v>
      </c>
      <c r="E647" s="231" t="n">
        <f aca="false">IF(ISERROR(A647), 0,  MAX(0,   MIN(    ROUND(G646 + D647, 2),    ROUND(FV($S$5, IF(type=1, A647, A646), , IF(J647&lt;&gt;1, -$D$20, -$P$16 + P647), 2), 0)   )  ) )</f>
        <v>0</v>
      </c>
      <c r="F647" s="231" t="n">
        <f aca="false">IF(J647&lt;&gt;1, "", IF(J646&lt;&gt;0, F646, $K$12))</f>
        <v>1</v>
      </c>
      <c r="G647" s="232" t="str">
        <f aca="false">IF(ISERROR(A647),"",ROUND(G646-E647+D647,2))</f>
        <v/>
      </c>
      <c r="H647" s="237" t="str">
        <f aca="false">IF(G647&gt;0,IFERROR(H646+(H646*($D$16/12)),""),"")</f>
        <v/>
      </c>
      <c r="I647" s="223" t="str">
        <f aca="false">IF(ISERROR(A648),"",12 - MONTH(B647))</f>
        <v/>
      </c>
      <c r="J647" s="224" t="n">
        <f aca="false">K647</f>
        <v>1</v>
      </c>
      <c r="K647" s="225" t="n">
        <f aca="false">_xlfn.IFNA(IF(B647&gt;=$K$11, 1,0),0)</f>
        <v>1</v>
      </c>
      <c r="L647" s="60" t="str">
        <f aca="false">IF(I647=0,1,"")</f>
        <v/>
      </c>
      <c r="P647" s="4"/>
      <c r="V647" s="71"/>
    </row>
    <row r="648" customFormat="false" ht="12.75" hidden="false" customHeight="true" outlineLevel="0" collapsed="false">
      <c r="A648" s="228" t="e">
        <f aca="false">IF(OR(G647="",G647&lt;=0,C647&gt;150),NA(),A647+1)</f>
        <v>#N/A</v>
      </c>
      <c r="B648" s="229" t="str">
        <f aca="false">IF(ISERROR(A648),"",IF($D$9="Annually",EDATE(B647,12),EDATE(B647,1)))</f>
        <v/>
      </c>
      <c r="C648" s="230" t="str">
        <f aca="false">IF(ISERROR(A648),"",C647+IF($D$9="Monthly",1/12,1))</f>
        <v/>
      </c>
      <c r="D648" s="231" t="n">
        <f aca="false">IF(L647&lt;&gt;1, IF(G647&lt;E647,0,D647),IF(L647=1,IFERROR(ROUND(IF($G647 - (E647 * 6) &lt; 0, D647, ($G647 - (E647 * 6)) * $D$8 / 12),2),0) ) )</f>
        <v>0</v>
      </c>
      <c r="E648" s="231" t="n">
        <f aca="false">IF(ISERROR(A648), 0,  MAX(0,   MIN(    ROUND(G647 + D648, 2),    ROUND(FV($S$5, IF(type=1, A648, A647), , IF(J648&lt;&gt;1, -$D$20, -$P$16 + P648), 2), 0)   )  ) )</f>
        <v>0</v>
      </c>
      <c r="F648" s="231" t="n">
        <f aca="false">IF(J648&lt;&gt;1, "", IF(J647&lt;&gt;0, F647, $K$12))</f>
        <v>1</v>
      </c>
      <c r="G648" s="232" t="str">
        <f aca="false">IF(ISERROR(A648),"",ROUND(G647-E648+D648,2))</f>
        <v/>
      </c>
      <c r="H648" s="237" t="str">
        <f aca="false">IF(G648&gt;0,IFERROR(H647+(H647*($D$16/12)),""),"")</f>
        <v/>
      </c>
      <c r="I648" s="223" t="str">
        <f aca="false">IF(ISERROR(A649),"",12 - MONTH(B648))</f>
        <v/>
      </c>
      <c r="J648" s="224" t="n">
        <f aca="false">K648</f>
        <v>1</v>
      </c>
      <c r="K648" s="225" t="n">
        <f aca="false">_xlfn.IFNA(IF(B648&gt;=$K$11, 1,0),0)</f>
        <v>1</v>
      </c>
      <c r="L648" s="60" t="str">
        <f aca="false">IF(I648=0,1,"")</f>
        <v/>
      </c>
      <c r="P648" s="4"/>
      <c r="V648" s="71"/>
    </row>
    <row r="649" customFormat="false" ht="12.75" hidden="false" customHeight="true" outlineLevel="0" collapsed="false">
      <c r="A649" s="228" t="e">
        <f aca="false">IF(OR(G648="",G648&lt;=0,C648&gt;150),NA(),A648+1)</f>
        <v>#N/A</v>
      </c>
      <c r="B649" s="229" t="str">
        <f aca="false">IF(ISERROR(A649),"",IF($D$9="Annually",EDATE(B648,12),EDATE(B648,1)))</f>
        <v/>
      </c>
      <c r="C649" s="230" t="str">
        <f aca="false">IF(ISERROR(A649),"",C648+IF($D$9="Monthly",1/12,1))</f>
        <v/>
      </c>
      <c r="D649" s="231" t="n">
        <f aca="false">IF(L648&lt;&gt;1, IF(G648&lt;E648,0,D648),IF(L648=1,IFERROR(ROUND(IF($G648 - (E648 * 6) &lt; 0, D648, ($G648 - (E648 * 6)) * $D$8 / 12),2),0) ) )</f>
        <v>0</v>
      </c>
      <c r="E649" s="231" t="n">
        <f aca="false">IF(ISERROR(A649), 0,  MAX(0,   MIN(    ROUND(G648 + D649, 2),    ROUND(FV($S$5, IF(type=1, A649, A648), , IF(J649&lt;&gt;1, -$D$20, -$P$16 + P649), 2), 0)   )  ) )</f>
        <v>0</v>
      </c>
      <c r="F649" s="231" t="n">
        <f aca="false">IF(J649&lt;&gt;1, "", IF(J648&lt;&gt;0, F648, $K$12))</f>
        <v>1</v>
      </c>
      <c r="G649" s="232" t="str">
        <f aca="false">IF(ISERROR(A649),"",ROUND(G648-E649+D649,2))</f>
        <v/>
      </c>
      <c r="H649" s="237" t="str">
        <f aca="false">IF(G649&gt;0,IFERROR(H648+(H648*($D$16/12)),""),"")</f>
        <v/>
      </c>
      <c r="I649" s="223" t="str">
        <f aca="false">IF(ISERROR(A650),"",12 - MONTH(B649))</f>
        <v/>
      </c>
      <c r="J649" s="224" t="n">
        <f aca="false">K649</f>
        <v>1</v>
      </c>
      <c r="K649" s="225" t="n">
        <f aca="false">_xlfn.IFNA(IF(B649&gt;=$K$11, 1,0),0)</f>
        <v>1</v>
      </c>
      <c r="L649" s="60" t="str">
        <f aca="false">IF(I649=0,1,"")</f>
        <v/>
      </c>
      <c r="P649" s="4"/>
      <c r="V649" s="71"/>
    </row>
    <row r="650" customFormat="false" ht="12.75" hidden="false" customHeight="true" outlineLevel="0" collapsed="false">
      <c r="A650" s="228" t="e">
        <f aca="false">IF(OR(G649="",G649&lt;=0,C649&gt;150),NA(),A649+1)</f>
        <v>#N/A</v>
      </c>
      <c r="B650" s="229" t="str">
        <f aca="false">IF(ISERROR(A650),"",IF($D$9="Annually",EDATE(B649,12),EDATE(B649,1)))</f>
        <v/>
      </c>
      <c r="C650" s="230" t="str">
        <f aca="false">IF(ISERROR(A650),"",C649+IF($D$9="Monthly",1/12,1))</f>
        <v/>
      </c>
      <c r="D650" s="231" t="n">
        <f aca="false">IF(L649&lt;&gt;1, IF(G649&lt;E649,0,D649),IF(L649=1,IFERROR(ROUND(IF($G649 - (E649 * 6) &lt; 0, D649, ($G649 - (E649 * 6)) * $D$8 / 12),2),0) ) )</f>
        <v>0</v>
      </c>
      <c r="E650" s="231" t="n">
        <f aca="false">IF(ISERROR(A650), 0,  MAX(0,   MIN(    ROUND(G649 + D650, 2),    ROUND(FV($S$5, IF(type=1, A650, A649), , IF(J650&lt;&gt;1, -$D$20, -$P$16 + P650), 2), 0)   )  ) )</f>
        <v>0</v>
      </c>
      <c r="F650" s="231" t="n">
        <f aca="false">IF(J650&lt;&gt;1, "", IF(J649&lt;&gt;0, F649, $K$12))</f>
        <v>1</v>
      </c>
      <c r="G650" s="232" t="str">
        <f aca="false">IF(ISERROR(A650),"",ROUND(G649-E650+D650,2))</f>
        <v/>
      </c>
      <c r="H650" s="237" t="str">
        <f aca="false">IF(G650&gt;0,IFERROR(H649+(H649*($D$16/12)),""),"")</f>
        <v/>
      </c>
      <c r="I650" s="223" t="str">
        <f aca="false">IF(ISERROR(A651),"",12 - MONTH(B650))</f>
        <v/>
      </c>
      <c r="J650" s="224" t="n">
        <f aca="false">K650</f>
        <v>1</v>
      </c>
      <c r="K650" s="225" t="n">
        <f aca="false">_xlfn.IFNA(IF(B650&gt;=$K$11, 1,0),0)</f>
        <v>1</v>
      </c>
      <c r="L650" s="60" t="str">
        <f aca="false">IF(I650=0,1,"")</f>
        <v/>
      </c>
      <c r="P650" s="4"/>
      <c r="V650" s="71"/>
    </row>
    <row r="651" customFormat="false" ht="12.75" hidden="false" customHeight="true" outlineLevel="0" collapsed="false">
      <c r="A651" s="228" t="e">
        <f aca="false">IF(OR(G650="",G650&lt;=0,C650&gt;150),NA(),A650+1)</f>
        <v>#N/A</v>
      </c>
      <c r="B651" s="229" t="str">
        <f aca="false">IF(ISERROR(A651),"",IF($D$9="Annually",EDATE(B650,12),EDATE(B650,1)))</f>
        <v/>
      </c>
      <c r="C651" s="230" t="str">
        <f aca="false">IF(ISERROR(A651),"",C650+IF($D$9="Monthly",1/12,1))</f>
        <v/>
      </c>
      <c r="D651" s="231" t="n">
        <f aca="false">IF(L650&lt;&gt;1, IF(G650&lt;E650,0,D650),IF(L650=1,IFERROR(ROUND(IF($G650 - (E650 * 6) &lt; 0, D650, ($G650 - (E650 * 6)) * $D$8 / 12),2),0) ) )</f>
        <v>0</v>
      </c>
      <c r="E651" s="231" t="n">
        <f aca="false">IF(ISERROR(A651), 0,  MAX(0,   MIN(    ROUND(G650 + D651, 2),    ROUND(FV($S$5, IF(type=1, A651, A650), , IF(J651&lt;&gt;1, -$D$20, -$P$16 + P651), 2), 0)   )  ) )</f>
        <v>0</v>
      </c>
      <c r="F651" s="231" t="n">
        <f aca="false">IF(J651&lt;&gt;1, "", IF(J650&lt;&gt;0, F650, $K$12))</f>
        <v>1</v>
      </c>
      <c r="G651" s="232" t="str">
        <f aca="false">IF(ISERROR(A651),"",ROUND(G650-E651+D651,2))</f>
        <v/>
      </c>
      <c r="H651" s="237" t="str">
        <f aca="false">IF(G651&gt;0,IFERROR(H650+(H650*($D$16/12)),""),"")</f>
        <v/>
      </c>
      <c r="I651" s="223" t="str">
        <f aca="false">IF(ISERROR(A652),"",12 - MONTH(B651))</f>
        <v/>
      </c>
      <c r="J651" s="224" t="n">
        <f aca="false">K651</f>
        <v>1</v>
      </c>
      <c r="K651" s="225" t="n">
        <f aca="false">_xlfn.IFNA(IF(B651&gt;=$K$11, 1,0),0)</f>
        <v>1</v>
      </c>
      <c r="L651" s="60" t="str">
        <f aca="false">IF(I651=0,1,"")</f>
        <v/>
      </c>
      <c r="P651" s="4"/>
      <c r="V651" s="71"/>
    </row>
    <row r="652" customFormat="false" ht="12.75" hidden="false" customHeight="true" outlineLevel="0" collapsed="false">
      <c r="A652" s="228" t="e">
        <f aca="false">IF(OR(G651="",G651&lt;=0,C651&gt;150),NA(),A651+1)</f>
        <v>#N/A</v>
      </c>
      <c r="B652" s="229" t="str">
        <f aca="false">IF(ISERROR(A652),"",IF($D$9="Annually",EDATE(B651,12),EDATE(B651,1)))</f>
        <v/>
      </c>
      <c r="C652" s="230" t="str">
        <f aca="false">IF(ISERROR(A652),"",C651+IF($D$9="Monthly",1/12,1))</f>
        <v/>
      </c>
      <c r="D652" s="231" t="n">
        <f aca="false">IF(L651&lt;&gt;1, IF(G651&lt;E651,0,D651),IF(L651=1,IFERROR(ROUND(IF($G651 - (E651 * 6) &lt; 0, D651, ($G651 - (E651 * 6)) * $D$8 / 12),2),0) ) )</f>
        <v>0</v>
      </c>
      <c r="E652" s="231" t="n">
        <f aca="false">IF(ISERROR(A652), 0,  MAX(0,   MIN(    ROUND(G651 + D652, 2),    ROUND(FV($S$5, IF(type=1, A652, A651), , IF(J652&lt;&gt;1, -$D$20, -$P$16 + P652), 2), 0)   )  ) )</f>
        <v>0</v>
      </c>
      <c r="F652" s="231" t="n">
        <f aca="false">IF(J652&lt;&gt;1, "", IF(J651&lt;&gt;0, F651, $K$12))</f>
        <v>1</v>
      </c>
      <c r="G652" s="232" t="str">
        <f aca="false">IF(ISERROR(A652),"",ROUND(G651-E652+D652,2))</f>
        <v/>
      </c>
      <c r="H652" s="237" t="str">
        <f aca="false">IF(G652&gt;0,IFERROR(H651+(H651*($D$16/12)),""),"")</f>
        <v/>
      </c>
      <c r="I652" s="223" t="str">
        <f aca="false">IF(ISERROR(A653),"",12 - MONTH(B652))</f>
        <v/>
      </c>
      <c r="J652" s="224" t="n">
        <f aca="false">K652</f>
        <v>1</v>
      </c>
      <c r="K652" s="225" t="n">
        <f aca="false">_xlfn.IFNA(IF(B652&gt;=$K$11, 1,0),0)</f>
        <v>1</v>
      </c>
      <c r="L652" s="60" t="str">
        <f aca="false">IF(I652=0,1,"")</f>
        <v/>
      </c>
      <c r="P652" s="4"/>
      <c r="V652" s="71"/>
    </row>
    <row r="653" customFormat="false" ht="12.75" hidden="false" customHeight="true" outlineLevel="0" collapsed="false">
      <c r="A653" s="228" t="e">
        <f aca="false">IF(OR(G652="",G652&lt;=0,C652&gt;150),NA(),A652+1)</f>
        <v>#N/A</v>
      </c>
      <c r="B653" s="229" t="str">
        <f aca="false">IF(ISERROR(A653),"",IF($D$9="Annually",EDATE(B652,12),EDATE(B652,1)))</f>
        <v/>
      </c>
      <c r="C653" s="230" t="str">
        <f aca="false">IF(ISERROR(A653),"",C652+IF($D$9="Monthly",1/12,1))</f>
        <v/>
      </c>
      <c r="D653" s="231" t="n">
        <f aca="false">IF(L652&lt;&gt;1, IF(G652&lt;E652,0,D652),IF(L652=1,IFERROR(ROUND(IF($G652 - (E652 * 6) &lt; 0, D652, ($G652 - (E652 * 6)) * $D$8 / 12),2),0) ) )</f>
        <v>0</v>
      </c>
      <c r="E653" s="231" t="n">
        <f aca="false">IF(ISERROR(A653), 0,  MAX(0,   MIN(    ROUND(G652 + D653, 2),    ROUND(FV($S$5, IF(type=1, A653, A652), , IF(J653&lt;&gt;1, -$D$20, -$P$16 + P653), 2), 0)   )  ) )</f>
        <v>0</v>
      </c>
      <c r="F653" s="231" t="n">
        <f aca="false">IF(J653&lt;&gt;1, "", IF(J652&lt;&gt;0, F652, $K$12))</f>
        <v>1</v>
      </c>
      <c r="G653" s="232" t="str">
        <f aca="false">IF(ISERROR(A653),"",ROUND(G652-E653+D653,2))</f>
        <v/>
      </c>
      <c r="H653" s="237" t="str">
        <f aca="false">IF(G653&gt;0,IFERROR(H652+(H652*($D$16/12)),""),"")</f>
        <v/>
      </c>
      <c r="I653" s="223" t="str">
        <f aca="false">IF(ISERROR(A654),"",12 - MONTH(B653))</f>
        <v/>
      </c>
      <c r="J653" s="224" t="n">
        <f aca="false">K653</f>
        <v>1</v>
      </c>
      <c r="K653" s="225" t="n">
        <f aca="false">_xlfn.IFNA(IF(B653&gt;=$K$11, 1,0),0)</f>
        <v>1</v>
      </c>
      <c r="L653" s="60" t="str">
        <f aca="false">IF(I653=0,1,"")</f>
        <v/>
      </c>
      <c r="P653" s="4"/>
      <c r="V653" s="71"/>
    </row>
    <row r="654" customFormat="false" ht="12.75" hidden="false" customHeight="true" outlineLevel="0" collapsed="false">
      <c r="A654" s="228" t="e">
        <f aca="false">IF(OR(G653="",G653&lt;=0,C653&gt;150),NA(),A653+1)</f>
        <v>#N/A</v>
      </c>
      <c r="B654" s="229" t="str">
        <f aca="false">IF(ISERROR(A654),"",IF($D$9="Annually",EDATE(B653,12),EDATE(B653,1)))</f>
        <v/>
      </c>
      <c r="C654" s="230" t="str">
        <f aca="false">IF(ISERROR(A654),"",C653+IF($D$9="Monthly",1/12,1))</f>
        <v/>
      </c>
      <c r="D654" s="231" t="n">
        <f aca="false">IF(L653&lt;&gt;1, IF(G653&lt;E653,0,D653),IF(L653=1,IFERROR(ROUND(IF($G653 - (E653 * 6) &lt; 0, D653, ($G653 - (E653 * 6)) * $D$8 / 12),2),0) ) )</f>
        <v>0</v>
      </c>
      <c r="E654" s="231" t="n">
        <f aca="false">IF(ISERROR(A654), 0,  MAX(0,   MIN(    ROUND(G653 + D654, 2),    ROUND(FV($S$5, IF(type=1, A654, A653), , IF(J654&lt;&gt;1, -$D$20, -$P$16 + P654), 2), 0)   )  ) )</f>
        <v>0</v>
      </c>
      <c r="F654" s="231" t="n">
        <f aca="false">IF(J654&lt;&gt;1, "", IF(J653&lt;&gt;0, F653, $K$12))</f>
        <v>1</v>
      </c>
      <c r="G654" s="232" t="str">
        <f aca="false">IF(ISERROR(A654),"",ROUND(G653-E654+D654,2))</f>
        <v/>
      </c>
      <c r="H654" s="237" t="str">
        <f aca="false">IF(G654&gt;0,IFERROR(H653+(H653*($D$16/12)),""),"")</f>
        <v/>
      </c>
      <c r="I654" s="223" t="str">
        <f aca="false">IF(ISERROR(A655),"",12 - MONTH(B654))</f>
        <v/>
      </c>
      <c r="J654" s="224" t="n">
        <f aca="false">K654</f>
        <v>1</v>
      </c>
      <c r="K654" s="225" t="n">
        <f aca="false">_xlfn.IFNA(IF(B654&gt;=$K$11, 1,0),0)</f>
        <v>1</v>
      </c>
      <c r="L654" s="60" t="str">
        <f aca="false">IF(I654=0,1,"")</f>
        <v/>
      </c>
      <c r="P654" s="4"/>
      <c r="V654" s="71"/>
    </row>
    <row r="655" customFormat="false" ht="12.75" hidden="false" customHeight="true" outlineLevel="0" collapsed="false">
      <c r="A655" s="228" t="e">
        <f aca="false">IF(OR(G654="",G654&lt;=0,C654&gt;150),NA(),A654+1)</f>
        <v>#N/A</v>
      </c>
      <c r="B655" s="229" t="str">
        <f aca="false">IF(ISERROR(A655),"",IF($D$9="Annually",EDATE(B654,12),EDATE(B654,1)))</f>
        <v/>
      </c>
      <c r="C655" s="230" t="str">
        <f aca="false">IF(ISERROR(A655),"",C654+IF($D$9="Monthly",1/12,1))</f>
        <v/>
      </c>
      <c r="D655" s="231" t="n">
        <f aca="false">IF(L654&lt;&gt;1, IF(G654&lt;E654,0,D654),IF(L654=1,IFERROR(ROUND(IF($G654 - (E654 * 6) &lt; 0, D654, ($G654 - (E654 * 6)) * $D$8 / 12),2),0) ) )</f>
        <v>0</v>
      </c>
      <c r="E655" s="231" t="n">
        <f aca="false">IF(ISERROR(A655), 0,  MAX(0,   MIN(    ROUND(G654 + D655, 2),    ROUND(FV($S$5, IF(type=1, A655, A654), , IF(J655&lt;&gt;1, -$D$20, -$P$16 + P655), 2), 0)   )  ) )</f>
        <v>0</v>
      </c>
      <c r="F655" s="231" t="n">
        <f aca="false">IF(J655&lt;&gt;1, "", IF(J654&lt;&gt;0, F654, $K$12))</f>
        <v>1</v>
      </c>
      <c r="G655" s="232" t="str">
        <f aca="false">IF(ISERROR(A655),"",ROUND(G654-E655+D655,2))</f>
        <v/>
      </c>
      <c r="H655" s="237" t="str">
        <f aca="false">IF(G655&gt;0,IFERROR(H654+(H654*($D$16/12)),""),"")</f>
        <v/>
      </c>
      <c r="I655" s="223" t="str">
        <f aca="false">IF(ISERROR(A656),"",12 - MONTH(B655))</f>
        <v/>
      </c>
      <c r="J655" s="224" t="n">
        <f aca="false">K655</f>
        <v>1</v>
      </c>
      <c r="K655" s="225" t="n">
        <f aca="false">_xlfn.IFNA(IF(B655&gt;=$K$11, 1,0),0)</f>
        <v>1</v>
      </c>
      <c r="L655" s="60" t="str">
        <f aca="false">IF(I655=0,1,"")</f>
        <v/>
      </c>
      <c r="P655" s="4"/>
      <c r="V655" s="71"/>
    </row>
    <row r="656" customFormat="false" ht="12.75" hidden="false" customHeight="true" outlineLevel="0" collapsed="false">
      <c r="A656" s="228" t="e">
        <f aca="false">IF(OR(G655="",G655&lt;=0,C655&gt;150),NA(),A655+1)</f>
        <v>#N/A</v>
      </c>
      <c r="B656" s="229" t="str">
        <f aca="false">IF(ISERROR(A656),"",IF($D$9="Annually",EDATE(B655,12),EDATE(B655,1)))</f>
        <v/>
      </c>
      <c r="C656" s="230" t="str">
        <f aca="false">IF(ISERROR(A656),"",C655+IF($D$9="Monthly",1/12,1))</f>
        <v/>
      </c>
      <c r="D656" s="231" t="n">
        <f aca="false">IF(L655&lt;&gt;1, IF(G655&lt;E655,0,D655),IF(L655=1,IFERROR(ROUND(IF($G655 - (E655 * 6) &lt; 0, D655, ($G655 - (E655 * 6)) * $D$8 / 12),2),0) ) )</f>
        <v>0</v>
      </c>
      <c r="E656" s="231" t="n">
        <f aca="false">IF(ISERROR(A656), 0,  MAX(0,   MIN(    ROUND(G655 + D656, 2),    ROUND(FV($S$5, IF(type=1, A656, A655), , IF(J656&lt;&gt;1, -$D$20, -$P$16 + P656), 2), 0)   )  ) )</f>
        <v>0</v>
      </c>
      <c r="F656" s="231" t="n">
        <f aca="false">IF(J656&lt;&gt;1, "", IF(J655&lt;&gt;0, F655, $K$12))</f>
        <v>1</v>
      </c>
      <c r="G656" s="232" t="str">
        <f aca="false">IF(ISERROR(A656),"",ROUND(G655-E656+D656,2))</f>
        <v/>
      </c>
      <c r="H656" s="237" t="str">
        <f aca="false">IF(G656&gt;0,IFERROR(H655+(H655*($D$16/12)),""),"")</f>
        <v/>
      </c>
      <c r="I656" s="223" t="str">
        <f aca="false">IF(ISERROR(A657),"",12 - MONTH(B656))</f>
        <v/>
      </c>
      <c r="J656" s="224" t="n">
        <f aca="false">K656</f>
        <v>1</v>
      </c>
      <c r="K656" s="225" t="n">
        <f aca="false">_xlfn.IFNA(IF(B656&gt;=$K$11, 1,0),0)</f>
        <v>1</v>
      </c>
      <c r="L656" s="60" t="str">
        <f aca="false">IF(I656=0,1,"")</f>
        <v/>
      </c>
      <c r="P656" s="4"/>
      <c r="V656" s="71"/>
    </row>
    <row r="657" customFormat="false" ht="12.75" hidden="false" customHeight="true" outlineLevel="0" collapsed="false">
      <c r="A657" s="228" t="e">
        <f aca="false">IF(OR(G656="",G656&lt;=0,C656&gt;150),NA(),A656+1)</f>
        <v>#N/A</v>
      </c>
      <c r="B657" s="229" t="str">
        <f aca="false">IF(ISERROR(A657),"",IF($D$9="Annually",EDATE(B656,12),EDATE(B656,1)))</f>
        <v/>
      </c>
      <c r="C657" s="230" t="str">
        <f aca="false">IF(ISERROR(A657),"",C656+IF($D$9="Monthly",1/12,1))</f>
        <v/>
      </c>
      <c r="D657" s="231" t="n">
        <f aca="false">IF(L656&lt;&gt;1, IF(G656&lt;E656,0,D656),IF(L656=1,IFERROR(ROUND(IF($G656 - (E656 * 6) &lt; 0, D656, ($G656 - (E656 * 6)) * $D$8 / 12),2),0) ) )</f>
        <v>0</v>
      </c>
      <c r="E657" s="231" t="n">
        <f aca="false">IF(ISERROR(A657), 0,  MAX(0,   MIN(    ROUND(G656 + D657, 2),    ROUND(FV($S$5, IF(type=1, A657, A656), , IF(J657&lt;&gt;1, -$D$20, -$P$16 + P657), 2), 0)   )  ) )</f>
        <v>0</v>
      </c>
      <c r="F657" s="231" t="n">
        <f aca="false">IF(J657&lt;&gt;1, "", IF(J656&lt;&gt;0, F656, $K$12))</f>
        <v>1</v>
      </c>
      <c r="G657" s="232" t="str">
        <f aca="false">IF(ISERROR(A657),"",ROUND(G656-E657+D657,2))</f>
        <v/>
      </c>
      <c r="H657" s="237" t="str">
        <f aca="false">IF(G657&gt;0,IFERROR(H656+(H656*($D$16/12)),""),"")</f>
        <v/>
      </c>
      <c r="I657" s="223" t="str">
        <f aca="false">IF(ISERROR(A658),"",12 - MONTH(B657))</f>
        <v/>
      </c>
      <c r="J657" s="224" t="n">
        <f aca="false">K657</f>
        <v>1</v>
      </c>
      <c r="K657" s="225" t="n">
        <f aca="false">_xlfn.IFNA(IF(B657&gt;=$K$11, 1,0),0)</f>
        <v>1</v>
      </c>
      <c r="L657" s="60" t="str">
        <f aca="false">IF(I657=0,1,"")</f>
        <v/>
      </c>
      <c r="P657" s="4"/>
      <c r="V657" s="71"/>
    </row>
    <row r="658" customFormat="false" ht="12.75" hidden="false" customHeight="true" outlineLevel="0" collapsed="false">
      <c r="A658" s="228" t="e">
        <f aca="false">IF(OR(G657="",G657&lt;=0,C657&gt;150),NA(),A657+1)</f>
        <v>#N/A</v>
      </c>
      <c r="B658" s="229" t="str">
        <f aca="false">IF(ISERROR(A658),"",IF($D$9="Annually",EDATE(B657,12),EDATE(B657,1)))</f>
        <v/>
      </c>
      <c r="C658" s="230" t="str">
        <f aca="false">IF(ISERROR(A658),"",C657+IF($D$9="Monthly",1/12,1))</f>
        <v/>
      </c>
      <c r="D658" s="231" t="n">
        <f aca="false">IF(L657&lt;&gt;1, IF(G657&lt;E657,0,D657),IF(L657=1,IFERROR(ROUND(IF($G657 - (E657 * 6) &lt; 0, D657, ($G657 - (E657 * 6)) * $D$8 / 12),2),0) ) )</f>
        <v>0</v>
      </c>
      <c r="E658" s="231" t="n">
        <f aca="false">IF(ISERROR(A658), 0,  MAX(0,   MIN(    ROUND(G657 + D658, 2),    ROUND(FV($S$5, IF(type=1, A658, A657), , IF(J658&lt;&gt;1, -$D$20, -$P$16 + P658), 2), 0)   )  ) )</f>
        <v>0</v>
      </c>
      <c r="F658" s="231" t="n">
        <f aca="false">IF(J658&lt;&gt;1, "", IF(J657&lt;&gt;0, F657, $K$12))</f>
        <v>1</v>
      </c>
      <c r="G658" s="232" t="str">
        <f aca="false">IF(ISERROR(A658),"",ROUND(G657-E658+D658,2))</f>
        <v/>
      </c>
      <c r="H658" s="237" t="str">
        <f aca="false">IF(G658&gt;0,IFERROR(H657+(H657*($D$16/12)),""),"")</f>
        <v/>
      </c>
      <c r="I658" s="223" t="str">
        <f aca="false">IF(ISERROR(A659),"",12 - MONTH(B658))</f>
        <v/>
      </c>
      <c r="J658" s="224" t="n">
        <f aca="false">K658</f>
        <v>1</v>
      </c>
      <c r="K658" s="225" t="n">
        <f aca="false">_xlfn.IFNA(IF(B658&gt;=$K$11, 1,0),0)</f>
        <v>1</v>
      </c>
      <c r="L658" s="60" t="str">
        <f aca="false">IF(I658=0,1,"")</f>
        <v/>
      </c>
      <c r="P658" s="4"/>
      <c r="V658" s="71"/>
    </row>
    <row r="659" customFormat="false" ht="12.75" hidden="false" customHeight="true" outlineLevel="0" collapsed="false">
      <c r="A659" s="228" t="e">
        <f aca="false">IF(OR(G658="",G658&lt;=0,C658&gt;150),NA(),A658+1)</f>
        <v>#N/A</v>
      </c>
      <c r="B659" s="229" t="str">
        <f aca="false">IF(ISERROR(A659),"",IF($D$9="Annually",EDATE(B658,12),EDATE(B658,1)))</f>
        <v/>
      </c>
      <c r="C659" s="230" t="str">
        <f aca="false">IF(ISERROR(A659),"",C658+IF($D$9="Monthly",1/12,1))</f>
        <v/>
      </c>
      <c r="D659" s="231" t="n">
        <f aca="false">IF(L658&lt;&gt;1, IF(G658&lt;E658,0,D658),IF(L658=1,IFERROR(ROUND(IF($G658 - (E658 * 6) &lt; 0, D658, ($G658 - (E658 * 6)) * $D$8 / 12),2),0) ) )</f>
        <v>0</v>
      </c>
      <c r="E659" s="231" t="n">
        <f aca="false">IF(ISERROR(A659), 0,  MAX(0,   MIN(    ROUND(G658 + D659, 2),    ROUND(FV($S$5, IF(type=1, A659, A658), , IF(J659&lt;&gt;1, -$D$20, -$P$16 + P659), 2), 0)   )  ) )</f>
        <v>0</v>
      </c>
      <c r="F659" s="231" t="n">
        <f aca="false">IF(J659&lt;&gt;1, "", IF(J658&lt;&gt;0, F658, $K$12))</f>
        <v>1</v>
      </c>
      <c r="G659" s="232" t="str">
        <f aca="false">IF(ISERROR(A659),"",ROUND(G658-E659+D659,2))</f>
        <v/>
      </c>
      <c r="H659" s="237" t="str">
        <f aca="false">IF(G659&gt;0,IFERROR(H658+(H658*($D$16/12)),""),"")</f>
        <v/>
      </c>
      <c r="I659" s="223" t="str">
        <f aca="false">IF(ISERROR(A660),"",12 - MONTH(B659))</f>
        <v/>
      </c>
      <c r="J659" s="224" t="n">
        <f aca="false">K659</f>
        <v>1</v>
      </c>
      <c r="K659" s="225" t="n">
        <f aca="false">_xlfn.IFNA(IF(B659&gt;=$K$11, 1,0),0)</f>
        <v>1</v>
      </c>
      <c r="L659" s="60" t="str">
        <f aca="false">IF(I659=0,1,"")</f>
        <v/>
      </c>
      <c r="P659" s="4"/>
      <c r="V659" s="71"/>
    </row>
    <row r="660" customFormat="false" ht="12.75" hidden="false" customHeight="true" outlineLevel="0" collapsed="false">
      <c r="A660" s="228" t="e">
        <f aca="false">IF(OR(G659="",G659&lt;=0,C659&gt;150),NA(),A659+1)</f>
        <v>#N/A</v>
      </c>
      <c r="B660" s="229" t="str">
        <f aca="false">IF(ISERROR(A660),"",IF($D$9="Annually",EDATE(B659,12),EDATE(B659,1)))</f>
        <v/>
      </c>
      <c r="C660" s="230" t="str">
        <f aca="false">IF(ISERROR(A660),"",C659+IF($D$9="Monthly",1/12,1))</f>
        <v/>
      </c>
      <c r="D660" s="231" t="n">
        <f aca="false">IF(L659&lt;&gt;1, IF(G659&lt;E659,0,D659),IF(L659=1,IFERROR(ROUND(IF($G659 - (E659 * 6) &lt; 0, D659, ($G659 - (E659 * 6)) * $D$8 / 12),2),0) ) )</f>
        <v>0</v>
      </c>
      <c r="E660" s="231" t="n">
        <f aca="false">IF(ISERROR(A660), 0,  MAX(0,   MIN(    ROUND(G659 + D660, 2),    ROUND(FV($S$5, IF(type=1, A660, A659), , IF(J660&lt;&gt;1, -$D$20, -$P$16 + P660), 2), 0)   )  ) )</f>
        <v>0</v>
      </c>
      <c r="F660" s="231" t="n">
        <f aca="false">IF(J660&lt;&gt;1, "", IF(J659&lt;&gt;0, F659, $K$12))</f>
        <v>1</v>
      </c>
      <c r="G660" s="232" t="str">
        <f aca="false">IF(ISERROR(A660),"",ROUND(G659-E660+D660,2))</f>
        <v/>
      </c>
      <c r="H660" s="237" t="str">
        <f aca="false">IF(G660&gt;0,IFERROR(H659+(H659*($D$16/12)),""),"")</f>
        <v/>
      </c>
      <c r="I660" s="223" t="str">
        <f aca="false">IF(ISERROR(A661),"",12 - MONTH(B660))</f>
        <v/>
      </c>
      <c r="J660" s="224" t="n">
        <f aca="false">K660</f>
        <v>1</v>
      </c>
      <c r="K660" s="225" t="n">
        <f aca="false">_xlfn.IFNA(IF(B660&gt;=$K$11, 1,0),0)</f>
        <v>1</v>
      </c>
      <c r="L660" s="60" t="str">
        <f aca="false">IF(I660=0,1,"")</f>
        <v/>
      </c>
      <c r="P660" s="4"/>
      <c r="V660" s="71"/>
    </row>
    <row r="661" customFormat="false" ht="12.75" hidden="false" customHeight="true" outlineLevel="0" collapsed="false">
      <c r="A661" s="228" t="e">
        <f aca="false">IF(OR(G660="",G660&lt;=0,C660&gt;150),NA(),A660+1)</f>
        <v>#N/A</v>
      </c>
      <c r="B661" s="229" t="str">
        <f aca="false">IF(ISERROR(A661),"",IF($D$9="Annually",EDATE(B660,12),EDATE(B660,1)))</f>
        <v/>
      </c>
      <c r="C661" s="230" t="str">
        <f aca="false">IF(ISERROR(A661),"",C660+IF($D$9="Monthly",1/12,1))</f>
        <v/>
      </c>
      <c r="D661" s="231" t="n">
        <f aca="false">IF(L660&lt;&gt;1, IF(G660&lt;E660,0,D660),IF(L660=1,IFERROR(ROUND(IF($G660 - (E660 * 6) &lt; 0, D660, ($G660 - (E660 * 6)) * $D$8 / 12),2),0) ) )</f>
        <v>0</v>
      </c>
      <c r="E661" s="231" t="n">
        <f aca="false">IF(ISERROR(A661), 0,  MAX(0,   MIN(    ROUND(G660 + D661, 2),    ROUND(FV($S$5, IF(type=1, A661, A660), , IF(J661&lt;&gt;1, -$D$20, -$P$16 + P661), 2), 0)   )  ) )</f>
        <v>0</v>
      </c>
      <c r="F661" s="231" t="n">
        <f aca="false">IF(J661&lt;&gt;1, "", IF(J660&lt;&gt;0, F660, $K$12))</f>
        <v>1</v>
      </c>
      <c r="G661" s="232" t="str">
        <f aca="false">IF(ISERROR(A661),"",ROUND(G660-E661+D661,2))</f>
        <v/>
      </c>
      <c r="H661" s="237" t="str">
        <f aca="false">IF(G661&gt;0,IFERROR(H660+(H660*($D$16/12)),""),"")</f>
        <v/>
      </c>
      <c r="I661" s="223" t="str">
        <f aca="false">IF(ISERROR(A662),"",12 - MONTH(B661))</f>
        <v/>
      </c>
      <c r="J661" s="224" t="n">
        <f aca="false">K661</f>
        <v>1</v>
      </c>
      <c r="K661" s="225" t="n">
        <f aca="false">_xlfn.IFNA(IF(B661&gt;=$K$11, 1,0),0)</f>
        <v>1</v>
      </c>
      <c r="L661" s="60" t="str">
        <f aca="false">IF(I661=0,1,"")</f>
        <v/>
      </c>
      <c r="P661" s="4"/>
      <c r="V661" s="71"/>
    </row>
    <row r="662" customFormat="false" ht="12.75" hidden="false" customHeight="true" outlineLevel="0" collapsed="false">
      <c r="A662" s="228" t="e">
        <f aca="false">IF(OR(G661="",G661&lt;=0,C661&gt;150),NA(),A661+1)</f>
        <v>#N/A</v>
      </c>
      <c r="B662" s="229" t="str">
        <f aca="false">IF(ISERROR(A662),"",IF($D$9="Annually",EDATE(B661,12),EDATE(B661,1)))</f>
        <v/>
      </c>
      <c r="C662" s="230" t="str">
        <f aca="false">IF(ISERROR(A662),"",C661+IF($D$9="Monthly",1/12,1))</f>
        <v/>
      </c>
      <c r="D662" s="231" t="n">
        <f aca="false">IF(L661&lt;&gt;1, IF(G661&lt;E661,0,D661),IF(L661=1,IFERROR(ROUND(IF($G661 - (E661 * 6) &lt; 0, D661, ($G661 - (E661 * 6)) * $D$8 / 12),2),0) ) )</f>
        <v>0</v>
      </c>
      <c r="E662" s="231" t="n">
        <f aca="false">IF(ISERROR(A662), 0,  MAX(0,   MIN(    ROUND(G661 + D662, 2),    ROUND(FV($S$5, IF(type=1, A662, A661), , IF(J662&lt;&gt;1, -$D$20, -$P$16 + P662), 2), 0)   )  ) )</f>
        <v>0</v>
      </c>
      <c r="F662" s="231" t="n">
        <f aca="false">IF(J662&lt;&gt;1, "", IF(J661&lt;&gt;0, F661, $K$12))</f>
        <v>1</v>
      </c>
      <c r="G662" s="232" t="str">
        <f aca="false">IF(ISERROR(A662),"",ROUND(G661-E662+D662,2))</f>
        <v/>
      </c>
      <c r="H662" s="237" t="str">
        <f aca="false">IF(G662&gt;0,IFERROR(H661+(H661*($D$16/12)),""),"")</f>
        <v/>
      </c>
      <c r="I662" s="223" t="str">
        <f aca="false">IF(ISERROR(A663),"",12 - MONTH(B662))</f>
        <v/>
      </c>
      <c r="J662" s="224" t="n">
        <f aca="false">K662</f>
        <v>1</v>
      </c>
      <c r="K662" s="225" t="n">
        <f aca="false">_xlfn.IFNA(IF(B662&gt;=$K$11, 1,0),0)</f>
        <v>1</v>
      </c>
      <c r="L662" s="60" t="str">
        <f aca="false">IF(I662=0,1,"")</f>
        <v/>
      </c>
      <c r="P662" s="4"/>
      <c r="V662" s="71"/>
    </row>
    <row r="663" customFormat="false" ht="12.75" hidden="false" customHeight="true" outlineLevel="0" collapsed="false">
      <c r="A663" s="228" t="e">
        <f aca="false">IF(OR(G662="",G662&lt;=0,C662&gt;150),NA(),A662+1)</f>
        <v>#N/A</v>
      </c>
      <c r="B663" s="229" t="str">
        <f aca="false">IF(ISERROR(A663),"",IF($D$9="Annually",EDATE(B662,12),EDATE(B662,1)))</f>
        <v/>
      </c>
      <c r="C663" s="230" t="str">
        <f aca="false">IF(ISERROR(A663),"",C662+IF($D$9="Monthly",1/12,1))</f>
        <v/>
      </c>
      <c r="D663" s="231" t="n">
        <f aca="false">IF(L662&lt;&gt;1, IF(G662&lt;E662,0,D662),IF(L662=1,IFERROR(ROUND(IF($G662 - (E662 * 6) &lt; 0, D662, ($G662 - (E662 * 6)) * $D$8 / 12),2),0) ) )</f>
        <v>0</v>
      </c>
      <c r="E663" s="231" t="n">
        <f aca="false">IF(ISERROR(A663), 0,  MAX(0,   MIN(    ROUND(G662 + D663, 2),    ROUND(FV($S$5, IF(type=1, A663, A662), , IF(J663&lt;&gt;1, -$D$20, -$P$16 + P663), 2), 0)   )  ) )</f>
        <v>0</v>
      </c>
      <c r="F663" s="231" t="n">
        <f aca="false">IF(J663&lt;&gt;1, "", IF(J662&lt;&gt;0, F662, $K$12))</f>
        <v>1</v>
      </c>
      <c r="G663" s="232" t="str">
        <f aca="false">IF(ISERROR(A663),"",ROUND(G662-E663+D663,2))</f>
        <v/>
      </c>
      <c r="H663" s="237" t="str">
        <f aca="false">IF(G663&gt;0,IFERROR(H662+(H662*($D$16/12)),""),"")</f>
        <v/>
      </c>
      <c r="I663" s="223" t="str">
        <f aca="false">IF(ISERROR(A664),"",12 - MONTH(B663))</f>
        <v/>
      </c>
      <c r="J663" s="224" t="n">
        <f aca="false">K663</f>
        <v>1</v>
      </c>
      <c r="K663" s="225" t="n">
        <f aca="false">_xlfn.IFNA(IF(B663&gt;=$K$11, 1,0),0)</f>
        <v>1</v>
      </c>
      <c r="L663" s="60" t="str">
        <f aca="false">IF(I663=0,1,"")</f>
        <v/>
      </c>
      <c r="P663" s="4"/>
      <c r="V663" s="71"/>
    </row>
    <row r="664" customFormat="false" ht="12.75" hidden="false" customHeight="true" outlineLevel="0" collapsed="false">
      <c r="A664" s="228" t="e">
        <f aca="false">IF(OR(G663="",G663&lt;=0,C663&gt;150),NA(),A663+1)</f>
        <v>#N/A</v>
      </c>
      <c r="B664" s="229" t="str">
        <f aca="false">IF(ISERROR(A664),"",IF($D$9="Annually",EDATE(B663,12),EDATE(B663,1)))</f>
        <v/>
      </c>
      <c r="C664" s="230" t="str">
        <f aca="false">IF(ISERROR(A664),"",C663+IF($D$9="Monthly",1/12,1))</f>
        <v/>
      </c>
      <c r="D664" s="231" t="n">
        <f aca="false">IF(L663&lt;&gt;1, IF(G663&lt;E663,0,D663),IF(L663=1,IFERROR(ROUND(IF($G663 - (E663 * 6) &lt; 0, D663, ($G663 - (E663 * 6)) * $D$8 / 12),2),0) ) )</f>
        <v>0</v>
      </c>
      <c r="E664" s="231" t="n">
        <f aca="false">IF(ISERROR(A664), 0,  MAX(0,   MIN(    ROUND(G663 + D664, 2),    ROUND(FV($S$5, IF(type=1, A664, A663), , IF(J664&lt;&gt;1, -$D$20, -$P$16 + P664), 2), 0)   )  ) )</f>
        <v>0</v>
      </c>
      <c r="F664" s="231" t="n">
        <f aca="false">IF(J664&lt;&gt;1, "", IF(J663&lt;&gt;0, F663, $K$12))</f>
        <v>1</v>
      </c>
      <c r="G664" s="232" t="str">
        <f aca="false">IF(ISERROR(A664),"",ROUND(G663-E664+D664,2))</f>
        <v/>
      </c>
      <c r="H664" s="237" t="str">
        <f aca="false">IF(G664&gt;0,IFERROR(H663+(H663*($D$16/12)),""),"")</f>
        <v/>
      </c>
      <c r="I664" s="223" t="str">
        <f aca="false">IF(ISERROR(A665),"",12 - MONTH(B664))</f>
        <v/>
      </c>
      <c r="J664" s="224" t="n">
        <f aca="false">K664</f>
        <v>1</v>
      </c>
      <c r="K664" s="225" t="n">
        <f aca="false">_xlfn.IFNA(IF(B664&gt;=$K$11, 1,0),0)</f>
        <v>1</v>
      </c>
      <c r="L664" s="60" t="str">
        <f aca="false">IF(I664=0,1,"")</f>
        <v/>
      </c>
      <c r="P664" s="4"/>
      <c r="V664" s="71"/>
    </row>
    <row r="665" customFormat="false" ht="12.75" hidden="false" customHeight="true" outlineLevel="0" collapsed="false">
      <c r="A665" s="228" t="e">
        <f aca="false">IF(OR(G664="",G664&lt;=0,C664&gt;150),NA(),A664+1)</f>
        <v>#N/A</v>
      </c>
      <c r="B665" s="229" t="str">
        <f aca="false">IF(ISERROR(A665),"",IF($D$9="Annually",EDATE(B664,12),EDATE(B664,1)))</f>
        <v/>
      </c>
      <c r="C665" s="230" t="str">
        <f aca="false">IF(ISERROR(A665),"",C664+IF($D$9="Monthly",1/12,1))</f>
        <v/>
      </c>
      <c r="D665" s="231" t="n">
        <f aca="false">IF(L664&lt;&gt;1, IF(G664&lt;E664,0,D664),IF(L664=1,IFERROR(ROUND(IF($G664 - (E664 * 6) &lt; 0, D664, ($G664 - (E664 * 6)) * $D$8 / 12),2),0) ) )</f>
        <v>0</v>
      </c>
      <c r="E665" s="231" t="n">
        <f aca="false">IF(ISERROR(A665), 0,  MAX(0,   MIN(    ROUND(G664 + D665, 2),    ROUND(FV($S$5, IF(type=1, A665, A664), , IF(J665&lt;&gt;1, -$D$20, -$P$16 + P665), 2), 0)   )  ) )</f>
        <v>0</v>
      </c>
      <c r="F665" s="231" t="n">
        <f aca="false">IF(J665&lt;&gt;1, "", IF(J664&lt;&gt;0, F664, $K$12))</f>
        <v>1</v>
      </c>
      <c r="G665" s="232" t="str">
        <f aca="false">IF(ISERROR(A665),"",ROUND(G664-E665+D665,2))</f>
        <v/>
      </c>
      <c r="H665" s="237" t="str">
        <f aca="false">IF(G665&gt;0,IFERROR(H664+(H664*($D$16/12)),""),"")</f>
        <v/>
      </c>
      <c r="I665" s="223" t="str">
        <f aca="false">IF(ISERROR(A666),"",12 - MONTH(B665))</f>
        <v/>
      </c>
      <c r="J665" s="224" t="n">
        <f aca="false">K665</f>
        <v>1</v>
      </c>
      <c r="K665" s="225" t="n">
        <f aca="false">_xlfn.IFNA(IF(B665&gt;=$K$11, 1,0),0)</f>
        <v>1</v>
      </c>
      <c r="L665" s="60" t="str">
        <f aca="false">IF(I665=0,1,"")</f>
        <v/>
      </c>
      <c r="P665" s="4"/>
      <c r="V665" s="71"/>
    </row>
    <row r="666" customFormat="false" ht="12.75" hidden="false" customHeight="true" outlineLevel="0" collapsed="false">
      <c r="A666" s="228" t="e">
        <f aca="false">IF(OR(G665="",G665&lt;=0,C665&gt;150),NA(),A665+1)</f>
        <v>#N/A</v>
      </c>
      <c r="B666" s="229" t="str">
        <f aca="false">IF(ISERROR(A666),"",IF($D$9="Annually",EDATE(B665,12),EDATE(B665,1)))</f>
        <v/>
      </c>
      <c r="C666" s="230" t="str">
        <f aca="false">IF(ISERROR(A666),"",C665+IF($D$9="Monthly",1/12,1))</f>
        <v/>
      </c>
      <c r="D666" s="231" t="n">
        <f aca="false">IF(L665&lt;&gt;1, IF(G665&lt;E665,0,D665),IF(L665=1,IFERROR(ROUND(IF($G665 - (E665 * 6) &lt; 0, D665, ($G665 - (E665 * 6)) * $D$8 / 12),2),0) ) )</f>
        <v>0</v>
      </c>
      <c r="E666" s="231" t="n">
        <f aca="false">IF(ISERROR(A666), 0,  MAX(0,   MIN(    ROUND(G665 + D666, 2),    ROUND(FV($S$5, IF(type=1, A666, A665), , IF(J666&lt;&gt;1, -$D$20, -$P$16 + P666), 2), 0)   )  ) )</f>
        <v>0</v>
      </c>
      <c r="F666" s="231" t="n">
        <f aca="false">IF(J666&lt;&gt;1, "", IF(J665&lt;&gt;0, F665, $K$12))</f>
        <v>1</v>
      </c>
      <c r="G666" s="232" t="str">
        <f aca="false">IF(ISERROR(A666),"",ROUND(G665-E666+D666,2))</f>
        <v/>
      </c>
      <c r="H666" s="237" t="str">
        <f aca="false">IF(G666&gt;0,IFERROR(H665+(H665*($D$16/12)),""),"")</f>
        <v/>
      </c>
      <c r="I666" s="223" t="str">
        <f aca="false">IF(ISERROR(A667),"",12 - MONTH(B666))</f>
        <v/>
      </c>
      <c r="J666" s="224" t="n">
        <f aca="false">K666</f>
        <v>1</v>
      </c>
      <c r="K666" s="225" t="n">
        <f aca="false">_xlfn.IFNA(IF(B666&gt;=$K$11, 1,0),0)</f>
        <v>1</v>
      </c>
      <c r="L666" s="60" t="str">
        <f aca="false">IF(I666=0,1,"")</f>
        <v/>
      </c>
      <c r="P666" s="4"/>
      <c r="V666" s="71"/>
    </row>
    <row r="667" customFormat="false" ht="12.75" hidden="false" customHeight="true" outlineLevel="0" collapsed="false">
      <c r="A667" s="228" t="e">
        <f aca="false">IF(OR(G666="",G666&lt;=0,C666&gt;150),NA(),A666+1)</f>
        <v>#N/A</v>
      </c>
      <c r="B667" s="229" t="str">
        <f aca="false">IF(ISERROR(A667),"",IF($D$9="Annually",EDATE(B666,12),EDATE(B666,1)))</f>
        <v/>
      </c>
      <c r="C667" s="230" t="str">
        <f aca="false">IF(ISERROR(A667),"",C666+IF($D$9="Monthly",1/12,1))</f>
        <v/>
      </c>
      <c r="D667" s="231" t="n">
        <f aca="false">IF(L666&lt;&gt;1, IF(G666&lt;E666,0,D666),IF(L666=1,IFERROR(ROUND(IF($G666 - (E666 * 6) &lt; 0, D666, ($G666 - (E666 * 6)) * $D$8 / 12),2),0) ) )</f>
        <v>0</v>
      </c>
      <c r="E667" s="231" t="n">
        <f aca="false">IF(ISERROR(A667), 0,  MAX(0,   MIN(    ROUND(G666 + D667, 2),    ROUND(FV($S$5, IF(type=1, A667, A666), , IF(J667&lt;&gt;1, -$D$20, -$P$16 + P667), 2), 0)   )  ) )</f>
        <v>0</v>
      </c>
      <c r="F667" s="231" t="n">
        <f aca="false">IF(J667&lt;&gt;1, "", IF(J666&lt;&gt;0, F666, $K$12))</f>
        <v>1</v>
      </c>
      <c r="G667" s="232" t="str">
        <f aca="false">IF(ISERROR(A667),"",ROUND(G666-E667+D667,2))</f>
        <v/>
      </c>
      <c r="H667" s="237" t="str">
        <f aca="false">IF(G667&gt;0,IFERROR(H666+(H666*($D$16/12)),""),"")</f>
        <v/>
      </c>
      <c r="I667" s="223" t="str">
        <f aca="false">IF(ISERROR(A668),"",12 - MONTH(B667))</f>
        <v/>
      </c>
      <c r="J667" s="224" t="n">
        <f aca="false">K667</f>
        <v>1</v>
      </c>
      <c r="K667" s="225" t="n">
        <f aca="false">_xlfn.IFNA(IF(B667&gt;=$K$11, 1,0),0)</f>
        <v>1</v>
      </c>
      <c r="L667" s="60" t="str">
        <f aca="false">IF(I667=0,1,"")</f>
        <v/>
      </c>
      <c r="P667" s="4"/>
      <c r="V667" s="71"/>
    </row>
    <row r="668" customFormat="false" ht="12.75" hidden="false" customHeight="true" outlineLevel="0" collapsed="false">
      <c r="A668" s="228" t="e">
        <f aca="false">IF(OR(G667="",G667&lt;=0,C667&gt;150),NA(),A667+1)</f>
        <v>#N/A</v>
      </c>
      <c r="B668" s="229" t="str">
        <f aca="false">IF(ISERROR(A668),"",IF($D$9="Annually",EDATE(B667,12),EDATE(B667,1)))</f>
        <v/>
      </c>
      <c r="C668" s="230" t="str">
        <f aca="false">IF(ISERROR(A668),"",C667+IF($D$9="Monthly",1/12,1))</f>
        <v/>
      </c>
      <c r="D668" s="231" t="n">
        <f aca="false">IF(L667&lt;&gt;1, IF(G667&lt;E667,0,D667),IF(L667=1,IFERROR(ROUND(IF($G667 - (E667 * 6) &lt; 0, D667, ($G667 - (E667 * 6)) * $D$8 / 12),2),0) ) )</f>
        <v>0</v>
      </c>
      <c r="E668" s="231" t="n">
        <f aca="false">IF(ISERROR(A668), 0,  MAX(0,   MIN(    ROUND(G667 + D668, 2),    ROUND(FV($S$5, IF(type=1, A668, A667), , IF(J668&lt;&gt;1, -$D$20, -$P$16 + P668), 2), 0)   )  ) )</f>
        <v>0</v>
      </c>
      <c r="F668" s="231" t="n">
        <f aca="false">IF(J668&lt;&gt;1, "", IF(J667&lt;&gt;0, F667, $K$12))</f>
        <v>1</v>
      </c>
      <c r="G668" s="232" t="str">
        <f aca="false">IF(ISERROR(A668),"",ROUND(G667-E668+D668,2))</f>
        <v/>
      </c>
      <c r="H668" s="237" t="str">
        <f aca="false">IF(G668&gt;0,IFERROR(H667+(H667*($D$16/12)),""),"")</f>
        <v/>
      </c>
      <c r="I668" s="223" t="str">
        <f aca="false">IF(ISERROR(A669),"",12 - MONTH(B668))</f>
        <v/>
      </c>
      <c r="J668" s="224" t="n">
        <f aca="false">K668</f>
        <v>1</v>
      </c>
      <c r="K668" s="225" t="n">
        <f aca="false">_xlfn.IFNA(IF(B668&gt;=$K$11, 1,0),0)</f>
        <v>1</v>
      </c>
      <c r="L668" s="60" t="str">
        <f aca="false">IF(I668=0,1,"")</f>
        <v/>
      </c>
      <c r="P668" s="4"/>
      <c r="V668" s="71"/>
    </row>
    <row r="669" customFormat="false" ht="12.75" hidden="false" customHeight="true" outlineLevel="0" collapsed="false">
      <c r="A669" s="228" t="e">
        <f aca="false">IF(OR(G668="",G668&lt;=0,C668&gt;150),NA(),A668+1)</f>
        <v>#N/A</v>
      </c>
      <c r="B669" s="229" t="str">
        <f aca="false">IF(ISERROR(A669),"",IF($D$9="Annually",EDATE(B668,12),EDATE(B668,1)))</f>
        <v/>
      </c>
      <c r="C669" s="230" t="str">
        <f aca="false">IF(ISERROR(A669),"",C668+IF($D$9="Monthly",1/12,1))</f>
        <v/>
      </c>
      <c r="D669" s="231" t="n">
        <f aca="false">IF(L668&lt;&gt;1, IF(G668&lt;E668,0,D668),IF(L668=1,IFERROR(ROUND(IF($G668 - (E668 * 6) &lt; 0, D668, ($G668 - (E668 * 6)) * $D$8 / 12),2),0) ) )</f>
        <v>0</v>
      </c>
      <c r="E669" s="231" t="n">
        <f aca="false">IF(ISERROR(A669), 0,  MAX(0,   MIN(    ROUND(G668 + D669, 2),    ROUND(FV($S$5, IF(type=1, A669, A668), , IF(J669&lt;&gt;1, -$D$20, -$P$16 + P669), 2), 0)   )  ) )</f>
        <v>0</v>
      </c>
      <c r="F669" s="231" t="n">
        <f aca="false">IF(J669&lt;&gt;1, "", IF(J668&lt;&gt;0, F668, $K$12))</f>
        <v>1</v>
      </c>
      <c r="G669" s="232" t="str">
        <f aca="false">IF(ISERROR(A669),"",ROUND(G668-E669+D669,2))</f>
        <v/>
      </c>
      <c r="H669" s="237" t="str">
        <f aca="false">IF(G669&gt;0,IFERROR(H668+(H668*($D$16/12)),""),"")</f>
        <v/>
      </c>
      <c r="I669" s="223" t="str">
        <f aca="false">IF(ISERROR(A670),"",12 - MONTH(B669))</f>
        <v/>
      </c>
      <c r="J669" s="224" t="n">
        <f aca="false">K669</f>
        <v>1</v>
      </c>
      <c r="K669" s="225" t="n">
        <f aca="false">_xlfn.IFNA(IF(B669&gt;=$K$11, 1,0),0)</f>
        <v>1</v>
      </c>
      <c r="L669" s="60" t="str">
        <f aca="false">IF(I669=0,1,"")</f>
        <v/>
      </c>
      <c r="P669" s="4"/>
      <c r="V669" s="71"/>
    </row>
    <row r="670" customFormat="false" ht="12.75" hidden="false" customHeight="true" outlineLevel="0" collapsed="false">
      <c r="A670" s="228" t="e">
        <f aca="false">IF(OR(G669="",G669&lt;=0,C669&gt;150),NA(),A669+1)</f>
        <v>#N/A</v>
      </c>
      <c r="B670" s="229" t="str">
        <f aca="false">IF(ISERROR(A670),"",IF($D$9="Annually",EDATE(B669,12),EDATE(B669,1)))</f>
        <v/>
      </c>
      <c r="C670" s="230" t="str">
        <f aca="false">IF(ISERROR(A670),"",C669+IF($D$9="Monthly",1/12,1))</f>
        <v/>
      </c>
      <c r="D670" s="231" t="n">
        <f aca="false">IF(L669&lt;&gt;1, IF(G669&lt;E669,0,D669),IF(L669=1,IFERROR(ROUND(IF($G669 - (E669 * 6) &lt; 0, D669, ($G669 - (E669 * 6)) * $D$8 / 12),2),0) ) )</f>
        <v>0</v>
      </c>
      <c r="E670" s="231" t="n">
        <f aca="false">IF(ISERROR(A670), 0,  MAX(0,   MIN(    ROUND(G669 + D670, 2),    ROUND(FV($S$5, IF(type=1, A670, A669), , IF(J670&lt;&gt;1, -$D$20, -$P$16 + P670), 2), 0)   )  ) )</f>
        <v>0</v>
      </c>
      <c r="F670" s="231" t="n">
        <f aca="false">IF(J670&lt;&gt;1, "", IF(J669&lt;&gt;0, F669, $K$12))</f>
        <v>1</v>
      </c>
      <c r="G670" s="232" t="str">
        <f aca="false">IF(ISERROR(A670),"",ROUND(G669-E670+D670,2))</f>
        <v/>
      </c>
      <c r="H670" s="237" t="str">
        <f aca="false">IF(G670&gt;0,IFERROR(H669+(H669*($D$16/12)),""),"")</f>
        <v/>
      </c>
      <c r="I670" s="223" t="str">
        <f aca="false">IF(ISERROR(A671),"",12 - MONTH(B670))</f>
        <v/>
      </c>
      <c r="J670" s="224" t="n">
        <f aca="false">K670</f>
        <v>1</v>
      </c>
      <c r="K670" s="225" t="n">
        <f aca="false">_xlfn.IFNA(IF(B670&gt;=$K$11, 1,0),0)</f>
        <v>1</v>
      </c>
      <c r="L670" s="60" t="str">
        <f aca="false">IF(I670=0,1,"")</f>
        <v/>
      </c>
      <c r="P670" s="4"/>
      <c r="V670" s="71"/>
    </row>
    <row r="671" customFormat="false" ht="12.75" hidden="false" customHeight="true" outlineLevel="0" collapsed="false">
      <c r="A671" s="228" t="e">
        <f aca="false">IF(OR(G670="",G670&lt;=0,C670&gt;150),NA(),A670+1)</f>
        <v>#N/A</v>
      </c>
      <c r="B671" s="229" t="str">
        <f aca="false">IF(ISERROR(A671),"",IF($D$9="Annually",EDATE(B670,12),EDATE(B670,1)))</f>
        <v/>
      </c>
      <c r="C671" s="230" t="str">
        <f aca="false">IF(ISERROR(A671),"",C670+IF($D$9="Monthly",1/12,1))</f>
        <v/>
      </c>
      <c r="D671" s="231" t="n">
        <f aca="false">IF(L670&lt;&gt;1, IF(G670&lt;E670,0,D670),IF(L670=1,IFERROR(ROUND(IF($G670 - (E670 * 6) &lt; 0, D670, ($G670 - (E670 * 6)) * $D$8 / 12),2),0) ) )</f>
        <v>0</v>
      </c>
      <c r="E671" s="231" t="n">
        <f aca="false">IF(ISERROR(A671), 0,  MAX(0,   MIN(    ROUND(G670 + D671, 2),    ROUND(FV($S$5, IF(type=1, A671, A670), , IF(J671&lt;&gt;1, -$D$20, -$P$16 + P671), 2), 0)   )  ) )</f>
        <v>0</v>
      </c>
      <c r="F671" s="231" t="n">
        <f aca="false">IF(J671&lt;&gt;1, "", IF(J670&lt;&gt;0, F670, $K$12))</f>
        <v>1</v>
      </c>
      <c r="G671" s="232" t="str">
        <f aca="false">IF(ISERROR(A671),"",ROUND(G670-E671+D671,2))</f>
        <v/>
      </c>
      <c r="H671" s="237" t="str">
        <f aca="false">IF(G671&gt;0,IFERROR(H670+(H670*($D$16/12)),""),"")</f>
        <v/>
      </c>
      <c r="I671" s="223" t="str">
        <f aca="false">IF(ISERROR(A672),"",12 - MONTH(B671))</f>
        <v/>
      </c>
      <c r="J671" s="224" t="n">
        <f aca="false">K671</f>
        <v>1</v>
      </c>
      <c r="K671" s="225" t="n">
        <f aca="false">_xlfn.IFNA(IF(B671&gt;=$K$11, 1,0),0)</f>
        <v>1</v>
      </c>
      <c r="L671" s="60" t="str">
        <f aca="false">IF(I671=0,1,"")</f>
        <v/>
      </c>
      <c r="P671" s="4"/>
      <c r="V671" s="71"/>
    </row>
    <row r="672" customFormat="false" ht="12.75" hidden="false" customHeight="true" outlineLevel="0" collapsed="false">
      <c r="A672" s="228" t="e">
        <f aca="false">IF(OR(G671="",G671&lt;=0,C671&gt;150),NA(),A671+1)</f>
        <v>#N/A</v>
      </c>
      <c r="B672" s="229" t="str">
        <f aca="false">IF(ISERROR(A672),"",IF($D$9="Annually",EDATE(B671,12),EDATE(B671,1)))</f>
        <v/>
      </c>
      <c r="C672" s="230" t="str">
        <f aca="false">IF(ISERROR(A672),"",C671+IF($D$9="Monthly",1/12,1))</f>
        <v/>
      </c>
      <c r="D672" s="231" t="n">
        <f aca="false">IF(L671&lt;&gt;1, IF(G671&lt;E671,0,D671),IF(L671=1,IFERROR(ROUND(IF($G671 - (E671 * 6) &lt; 0, D671, ($G671 - (E671 * 6)) * $D$8 / 12),2),0) ) )</f>
        <v>0</v>
      </c>
      <c r="E672" s="231" t="n">
        <f aca="false">IF(ISERROR(A672), 0,  MAX(0,   MIN(    ROUND(G671 + D672, 2),    ROUND(FV($S$5, IF(type=1, A672, A671), , IF(J672&lt;&gt;1, -$D$20, -$P$16 + P672), 2), 0)   )  ) )</f>
        <v>0</v>
      </c>
      <c r="F672" s="231" t="n">
        <f aca="false">IF(J672&lt;&gt;1, "", IF(J671&lt;&gt;0, F671, $K$12))</f>
        <v>1</v>
      </c>
      <c r="G672" s="232" t="str">
        <f aca="false">IF(ISERROR(A672),"",ROUND(G671-E672+D672,2))</f>
        <v/>
      </c>
      <c r="H672" s="237" t="str">
        <f aca="false">IF(G672&gt;0,IFERROR(H671+(H671*($D$16/12)),""),"")</f>
        <v/>
      </c>
      <c r="I672" s="223" t="str">
        <f aca="false">IF(ISERROR(A673),"",12 - MONTH(B672))</f>
        <v/>
      </c>
      <c r="J672" s="224" t="n">
        <f aca="false">K672</f>
        <v>1</v>
      </c>
      <c r="K672" s="225" t="n">
        <f aca="false">_xlfn.IFNA(IF(B672&gt;=$K$11, 1,0),0)</f>
        <v>1</v>
      </c>
      <c r="L672" s="60" t="str">
        <f aca="false">IF(I672=0,1,"")</f>
        <v/>
      </c>
      <c r="P672" s="4"/>
      <c r="V672" s="71"/>
    </row>
    <row r="673" customFormat="false" ht="12.75" hidden="false" customHeight="true" outlineLevel="0" collapsed="false">
      <c r="A673" s="228" t="e">
        <f aca="false">IF(OR(G672="",G672&lt;=0,C672&gt;150),NA(),A672+1)</f>
        <v>#N/A</v>
      </c>
      <c r="B673" s="229" t="str">
        <f aca="false">IF(ISERROR(A673),"",IF($D$9="Annually",EDATE(B672,12),EDATE(B672,1)))</f>
        <v/>
      </c>
      <c r="C673" s="230" t="str">
        <f aca="false">IF(ISERROR(A673),"",C672+IF($D$9="Monthly",1/12,1))</f>
        <v/>
      </c>
      <c r="D673" s="231" t="n">
        <f aca="false">IF(L672&lt;&gt;1, IF(G672&lt;E672,0,D672),IF(L672=1,IFERROR(ROUND(IF($G672 - (E672 * 6) &lt; 0, D672, ($G672 - (E672 * 6)) * $D$8 / 12),2),0) ) )</f>
        <v>0</v>
      </c>
      <c r="E673" s="231" t="n">
        <f aca="false">IF(ISERROR(A673), 0,  MAX(0,   MIN(    ROUND(G672 + D673, 2),    ROUND(FV($S$5, IF(type=1, A673, A672), , IF(J673&lt;&gt;1, -$D$20, -$P$16 + P673), 2), 0)   )  ) )</f>
        <v>0</v>
      </c>
      <c r="F673" s="231" t="n">
        <f aca="false">IF(J673&lt;&gt;1, "", IF(J672&lt;&gt;0, F672, $K$12))</f>
        <v>1</v>
      </c>
      <c r="G673" s="232" t="str">
        <f aca="false">IF(ISERROR(A673),"",ROUND(G672-E673+D673,2))</f>
        <v/>
      </c>
      <c r="H673" s="237" t="str">
        <f aca="false">IF(G673&gt;0,IFERROR(H672+(H672*($D$16/12)),""),"")</f>
        <v/>
      </c>
      <c r="I673" s="223" t="str">
        <f aca="false">IF(ISERROR(A674),"",12 - MONTH(B673))</f>
        <v/>
      </c>
      <c r="J673" s="224" t="n">
        <f aca="false">K673</f>
        <v>1</v>
      </c>
      <c r="K673" s="225" t="n">
        <f aca="false">_xlfn.IFNA(IF(B673&gt;=$K$11, 1,0),0)</f>
        <v>1</v>
      </c>
      <c r="L673" s="60" t="str">
        <f aca="false">IF(I673=0,1,"")</f>
        <v/>
      </c>
      <c r="P673" s="4"/>
      <c r="V673" s="71"/>
    </row>
    <row r="674" customFormat="false" ht="12.75" hidden="false" customHeight="true" outlineLevel="0" collapsed="false">
      <c r="A674" s="228" t="e">
        <f aca="false">IF(OR(G673="",G673&lt;=0,C673&gt;150),NA(),A673+1)</f>
        <v>#N/A</v>
      </c>
      <c r="B674" s="229" t="str">
        <f aca="false">IF(ISERROR(A674),"",IF($D$9="Annually",EDATE(B673,12),EDATE(B673,1)))</f>
        <v/>
      </c>
      <c r="C674" s="230" t="str">
        <f aca="false">IF(ISERROR(A674),"",C673+IF($D$9="Monthly",1/12,1))</f>
        <v/>
      </c>
      <c r="D674" s="231" t="n">
        <f aca="false">IF(L673&lt;&gt;1, IF(G673&lt;E673,0,D673),IF(L673=1,IFERROR(ROUND(IF($G673 - (E673 * 6) &lt; 0, D673, ($G673 - (E673 * 6)) * $D$8 / 12),2),0) ) )</f>
        <v>0</v>
      </c>
      <c r="E674" s="231" t="n">
        <f aca="false">IF(ISERROR(A674), 0,  MAX(0,   MIN(    ROUND(G673 + D674, 2),    ROUND(FV($S$5, IF(type=1, A674, A673), , IF(J674&lt;&gt;1, -$D$20, -$P$16 + P674), 2), 0)   )  ) )</f>
        <v>0</v>
      </c>
      <c r="F674" s="231" t="n">
        <f aca="false">IF(J674&lt;&gt;1, "", IF(J673&lt;&gt;0, F673, $K$12))</f>
        <v>1</v>
      </c>
      <c r="G674" s="232" t="str">
        <f aca="false">IF(ISERROR(A674),"",ROUND(G673-E674+D674,2))</f>
        <v/>
      </c>
      <c r="H674" s="237" t="str">
        <f aca="false">IF(G674&gt;0,IFERROR(H673+(H673*($D$16/12)),""),"")</f>
        <v/>
      </c>
      <c r="I674" s="223" t="str">
        <f aca="false">IF(ISERROR(A675),"",12 - MONTH(B674))</f>
        <v/>
      </c>
      <c r="J674" s="224" t="n">
        <f aca="false">K674</f>
        <v>1</v>
      </c>
      <c r="K674" s="225" t="n">
        <f aca="false">_xlfn.IFNA(IF(B674&gt;=$K$11, 1,0),0)</f>
        <v>1</v>
      </c>
      <c r="L674" s="60" t="str">
        <f aca="false">IF(I674=0,1,"")</f>
        <v/>
      </c>
      <c r="P674" s="4"/>
      <c r="V674" s="71"/>
    </row>
    <row r="675" customFormat="false" ht="12.75" hidden="false" customHeight="true" outlineLevel="0" collapsed="false">
      <c r="A675" s="228" t="e">
        <f aca="false">IF(OR(G674="",G674&lt;=0,C674&gt;150),NA(),A674+1)</f>
        <v>#N/A</v>
      </c>
      <c r="B675" s="229" t="str">
        <f aca="false">IF(ISERROR(A675),"",IF($D$9="Annually",EDATE(B674,12),EDATE(B674,1)))</f>
        <v/>
      </c>
      <c r="C675" s="230" t="str">
        <f aca="false">IF(ISERROR(A675),"",C674+IF($D$9="Monthly",1/12,1))</f>
        <v/>
      </c>
      <c r="D675" s="231" t="n">
        <f aca="false">IF(L674&lt;&gt;1, IF(G674&lt;E674,0,D674),IF(L674=1,IFERROR(ROUND(IF($G674 - (E674 * 6) &lt; 0, D674, ($G674 - (E674 * 6)) * $D$8 / 12),2),0) ) )</f>
        <v>0</v>
      </c>
      <c r="E675" s="231" t="n">
        <f aca="false">IF(ISERROR(A675), 0,  MAX(0,   MIN(    ROUND(G674 + D675, 2),    ROUND(FV($S$5, IF(type=1, A675, A674), , IF(J675&lt;&gt;1, -$D$20, -$P$16 + P675), 2), 0)   )  ) )</f>
        <v>0</v>
      </c>
      <c r="F675" s="231" t="n">
        <f aca="false">IF(J675&lt;&gt;1, "", IF(J674&lt;&gt;0, F674, $K$12))</f>
        <v>1</v>
      </c>
      <c r="G675" s="232" t="str">
        <f aca="false">IF(ISERROR(A675),"",ROUND(G674-E675+D675,2))</f>
        <v/>
      </c>
      <c r="H675" s="237" t="str">
        <f aca="false">IF(G675&gt;0,IFERROR(H674+(H674*($D$16/12)),""),"")</f>
        <v/>
      </c>
      <c r="I675" s="223" t="str">
        <f aca="false">IF(ISERROR(A676),"",12 - MONTH(B675))</f>
        <v/>
      </c>
      <c r="J675" s="224" t="n">
        <f aca="false">K675</f>
        <v>1</v>
      </c>
      <c r="K675" s="225" t="n">
        <f aca="false">_xlfn.IFNA(IF(B675&gt;=$K$11, 1,0),0)</f>
        <v>1</v>
      </c>
      <c r="L675" s="60" t="str">
        <f aca="false">IF(I675=0,1,"")</f>
        <v/>
      </c>
      <c r="P675" s="4"/>
      <c r="V675" s="71"/>
    </row>
    <row r="676" customFormat="false" ht="12.75" hidden="false" customHeight="true" outlineLevel="0" collapsed="false">
      <c r="A676" s="228" t="e">
        <f aca="false">IF(OR(G675="",G675&lt;=0,C675&gt;150),NA(),A675+1)</f>
        <v>#N/A</v>
      </c>
      <c r="B676" s="229" t="str">
        <f aca="false">IF(ISERROR(A676),"",IF($D$9="Annually",EDATE(B675,12),EDATE(B675,1)))</f>
        <v/>
      </c>
      <c r="C676" s="230" t="str">
        <f aca="false">IF(ISERROR(A676),"",C675+IF($D$9="Monthly",1/12,1))</f>
        <v/>
      </c>
      <c r="D676" s="231" t="n">
        <f aca="false">IF(L675&lt;&gt;1, IF(G675&lt;E675,0,D675),IF(L675=1,IFERROR(ROUND(IF($G675 - (E675 * 6) &lt; 0, D675, ($G675 - (E675 * 6)) * $D$8 / 12),2),0) ) )</f>
        <v>0</v>
      </c>
      <c r="E676" s="231" t="n">
        <f aca="false">IF(ISERROR(A676), 0,  MAX(0,   MIN(    ROUND(G675 + D676, 2),    ROUND(FV($S$5, IF(type=1, A676, A675), , IF(J676&lt;&gt;1, -$D$20, -$P$16 + P676), 2), 0)   )  ) )</f>
        <v>0</v>
      </c>
      <c r="F676" s="231" t="n">
        <f aca="false">IF(J676&lt;&gt;1, "", IF(J675&lt;&gt;0, F675, $K$12))</f>
        <v>1</v>
      </c>
      <c r="G676" s="232" t="str">
        <f aca="false">IF(ISERROR(A676),"",ROUND(G675-E676+D676,2))</f>
        <v/>
      </c>
      <c r="H676" s="237" t="str">
        <f aca="false">IF(G676&gt;0,IFERROR(H675+(H675*($D$16/12)),""),"")</f>
        <v/>
      </c>
      <c r="I676" s="223" t="str">
        <f aca="false">IF(ISERROR(A677),"",12 - MONTH(B676))</f>
        <v/>
      </c>
      <c r="J676" s="224" t="n">
        <f aca="false">K676</f>
        <v>1</v>
      </c>
      <c r="K676" s="225" t="n">
        <f aca="false">_xlfn.IFNA(IF(B676&gt;=$K$11, 1,0),0)</f>
        <v>1</v>
      </c>
      <c r="L676" s="60" t="str">
        <f aca="false">IF(I676=0,1,"")</f>
        <v/>
      </c>
      <c r="P676" s="4"/>
      <c r="V676" s="71"/>
    </row>
    <row r="677" customFormat="false" ht="12.75" hidden="false" customHeight="true" outlineLevel="0" collapsed="false">
      <c r="A677" s="228" t="e">
        <f aca="false">IF(OR(G676="",G676&lt;=0,C676&gt;150),NA(),A676+1)</f>
        <v>#N/A</v>
      </c>
      <c r="B677" s="229" t="str">
        <f aca="false">IF(ISERROR(A677),"",IF($D$9="Annually",EDATE(B676,12),EDATE(B676,1)))</f>
        <v/>
      </c>
      <c r="C677" s="230" t="str">
        <f aca="false">IF(ISERROR(A677),"",C676+IF($D$9="Monthly",1/12,1))</f>
        <v/>
      </c>
      <c r="D677" s="231" t="n">
        <f aca="false">IF(L676&lt;&gt;1, IF(G676&lt;E676,0,D676),IF(L676=1,IFERROR(ROUND(IF($G676 - (E676 * 6) &lt; 0, D676, ($G676 - (E676 * 6)) * $D$8 / 12),2),0) ) )</f>
        <v>0</v>
      </c>
      <c r="E677" s="231" t="n">
        <f aca="false">IF(ISERROR(A677), 0,  MAX(0,   MIN(    ROUND(G676 + D677, 2),    ROUND(FV($S$5, IF(type=1, A677, A676), , IF(J677&lt;&gt;1, -$D$20, -$P$16 + P677), 2), 0)   )  ) )</f>
        <v>0</v>
      </c>
      <c r="F677" s="231" t="n">
        <f aca="false">IF(J677&lt;&gt;1, "", IF(J676&lt;&gt;0, F676, $K$12))</f>
        <v>1</v>
      </c>
      <c r="G677" s="232" t="str">
        <f aca="false">IF(ISERROR(A677),"",ROUND(G676-E677+D677,2))</f>
        <v/>
      </c>
      <c r="H677" s="237" t="str">
        <f aca="false">IF(G677&gt;0,IFERROR(H676+(H676*($D$16/12)),""),"")</f>
        <v/>
      </c>
      <c r="I677" s="223" t="str">
        <f aca="false">IF(ISERROR(A678),"",12 - MONTH(B677))</f>
        <v/>
      </c>
      <c r="J677" s="224" t="n">
        <f aca="false">K677</f>
        <v>1</v>
      </c>
      <c r="K677" s="225" t="n">
        <f aca="false">_xlfn.IFNA(IF(B677&gt;=$K$11, 1,0),0)</f>
        <v>1</v>
      </c>
      <c r="L677" s="60" t="str">
        <f aca="false">IF(I677=0,1,"")</f>
        <v/>
      </c>
      <c r="P677" s="4"/>
      <c r="V677" s="71"/>
    </row>
    <row r="678" customFormat="false" ht="12.75" hidden="false" customHeight="true" outlineLevel="0" collapsed="false">
      <c r="A678" s="228" t="e">
        <f aca="false">IF(OR(G677="",G677&lt;=0,C677&gt;150),NA(),A677+1)</f>
        <v>#N/A</v>
      </c>
      <c r="B678" s="229" t="str">
        <f aca="false">IF(ISERROR(A678),"",IF($D$9="Annually",EDATE(B677,12),EDATE(B677,1)))</f>
        <v/>
      </c>
      <c r="C678" s="230" t="str">
        <f aca="false">IF(ISERROR(A678),"",C677+IF($D$9="Monthly",1/12,1))</f>
        <v/>
      </c>
      <c r="D678" s="231" t="n">
        <f aca="false">IF(L677&lt;&gt;1, IF(G677&lt;E677,0,D677),IF(L677=1,IFERROR(ROUND(IF($G677 - (E677 * 6) &lt; 0, D677, ($G677 - (E677 * 6)) * $D$8 / 12),2),0) ) )</f>
        <v>0</v>
      </c>
      <c r="E678" s="231" t="n">
        <f aca="false">IF(ISERROR(A678), 0,  MAX(0,   MIN(    ROUND(G677 + D678, 2),    ROUND(FV($S$5, IF(type=1, A678, A677), , IF(J678&lt;&gt;1, -$D$20, -$P$16 + P678), 2), 0)   )  ) )</f>
        <v>0</v>
      </c>
      <c r="F678" s="231" t="n">
        <f aca="false">IF(J678&lt;&gt;1, "", IF(J677&lt;&gt;0, F677, $K$12))</f>
        <v>1</v>
      </c>
      <c r="G678" s="232" t="str">
        <f aca="false">IF(ISERROR(A678),"",ROUND(G677-E678+D678,2))</f>
        <v/>
      </c>
      <c r="H678" s="237" t="str">
        <f aca="false">IF(G678&gt;0,IFERROR(H677+(H677*($D$16/12)),""),"")</f>
        <v/>
      </c>
      <c r="I678" s="223" t="str">
        <f aca="false">IF(ISERROR(A679),"",12 - MONTH(B678))</f>
        <v/>
      </c>
      <c r="J678" s="224" t="n">
        <f aca="false">K678</f>
        <v>1</v>
      </c>
      <c r="K678" s="225" t="n">
        <f aca="false">_xlfn.IFNA(IF(B678&gt;=$K$11, 1,0),0)</f>
        <v>1</v>
      </c>
      <c r="L678" s="60" t="str">
        <f aca="false">IF(I678=0,1,"")</f>
        <v/>
      </c>
      <c r="P678" s="4"/>
      <c r="V678" s="71"/>
    </row>
    <row r="679" customFormat="false" ht="12.75" hidden="false" customHeight="true" outlineLevel="0" collapsed="false">
      <c r="A679" s="228" t="e">
        <f aca="false">IF(OR(G678="",G678&lt;=0,C678&gt;150),NA(),A678+1)</f>
        <v>#N/A</v>
      </c>
      <c r="B679" s="229" t="str">
        <f aca="false">IF(ISERROR(A679),"",IF($D$9="Annually",EDATE(B678,12),EDATE(B678,1)))</f>
        <v/>
      </c>
      <c r="C679" s="230" t="str">
        <f aca="false">IF(ISERROR(A679),"",C678+IF($D$9="Monthly",1/12,1))</f>
        <v/>
      </c>
      <c r="D679" s="231" t="n">
        <f aca="false">IF(L678&lt;&gt;1, IF(G678&lt;E678,0,D678),IF(L678=1,IFERROR(ROUND(IF($G678 - (E678 * 6) &lt; 0, D678, ($G678 - (E678 * 6)) * $D$8 / 12),2),0) ) )</f>
        <v>0</v>
      </c>
      <c r="E679" s="231" t="n">
        <f aca="false">IF(ISERROR(A679), 0,  MAX(0,   MIN(    ROUND(G678 + D679, 2),    ROUND(FV($S$5, IF(type=1, A679, A678), , IF(J679&lt;&gt;1, -$D$20, -$P$16 + P679), 2), 0)   )  ) )</f>
        <v>0</v>
      </c>
      <c r="F679" s="231" t="n">
        <f aca="false">IF(J679&lt;&gt;1, "", IF(J678&lt;&gt;0, F678, $K$12))</f>
        <v>1</v>
      </c>
      <c r="G679" s="232" t="str">
        <f aca="false">IF(ISERROR(A679),"",ROUND(G678-E679+D679,2))</f>
        <v/>
      </c>
      <c r="H679" s="237" t="str">
        <f aca="false">IF(G679&gt;0,IFERROR(H678+(H678*($D$16/12)),""),"")</f>
        <v/>
      </c>
      <c r="I679" s="223" t="str">
        <f aca="false">IF(ISERROR(A680),"",12 - MONTH(B679))</f>
        <v/>
      </c>
      <c r="J679" s="224" t="n">
        <f aca="false">K679</f>
        <v>1</v>
      </c>
      <c r="K679" s="225" t="n">
        <f aca="false">_xlfn.IFNA(IF(B679&gt;=$K$11, 1,0),0)</f>
        <v>1</v>
      </c>
      <c r="L679" s="60" t="str">
        <f aca="false">IF(I679=0,1,"")</f>
        <v/>
      </c>
      <c r="P679" s="4"/>
      <c r="V679" s="71"/>
    </row>
    <row r="680" customFormat="false" ht="12.75" hidden="false" customHeight="true" outlineLevel="0" collapsed="false">
      <c r="A680" s="228" t="e">
        <f aca="false">IF(OR(G679="",G679&lt;=0,C679&gt;150),NA(),A679+1)</f>
        <v>#N/A</v>
      </c>
      <c r="B680" s="229" t="str">
        <f aca="false">IF(ISERROR(A680),"",IF($D$9="Annually",EDATE(B679,12),EDATE(B679,1)))</f>
        <v/>
      </c>
      <c r="C680" s="230" t="str">
        <f aca="false">IF(ISERROR(A680),"",C679+IF($D$9="Monthly",1/12,1))</f>
        <v/>
      </c>
      <c r="D680" s="231" t="n">
        <f aca="false">IF(L679&lt;&gt;1, IF(G679&lt;E679,0,D679),IF(L679=1,IFERROR(ROUND(IF($G679 - (E679 * 6) &lt; 0, D679, ($G679 - (E679 * 6)) * $D$8 / 12),2),0) ) )</f>
        <v>0</v>
      </c>
      <c r="E680" s="231" t="n">
        <f aca="false">IF(ISERROR(A680), 0,  MAX(0,   MIN(    ROUND(G679 + D680, 2),    ROUND(FV($S$5, IF(type=1, A680, A679), , IF(J680&lt;&gt;1, -$D$20, -$P$16 + P680), 2), 0)   )  ) )</f>
        <v>0</v>
      </c>
      <c r="F680" s="231" t="n">
        <f aca="false">IF(J680&lt;&gt;1, "", IF(J679&lt;&gt;0, F679, $K$12))</f>
        <v>1</v>
      </c>
      <c r="G680" s="232" t="str">
        <f aca="false">IF(ISERROR(A680),"",ROUND(G679-E680+D680,2))</f>
        <v/>
      </c>
      <c r="H680" s="237" t="str">
        <f aca="false">IF(G680&gt;0,IFERROR(H679+(H679*($D$16/12)),""),"")</f>
        <v/>
      </c>
      <c r="I680" s="223" t="str">
        <f aca="false">IF(ISERROR(A681),"",12 - MONTH(B680))</f>
        <v/>
      </c>
      <c r="J680" s="224" t="n">
        <f aca="false">K680</f>
        <v>1</v>
      </c>
      <c r="K680" s="225" t="n">
        <f aca="false">_xlfn.IFNA(IF(B680&gt;=$K$11, 1,0),0)</f>
        <v>1</v>
      </c>
      <c r="L680" s="60" t="str">
        <f aca="false">IF(I680=0,1,"")</f>
        <v/>
      </c>
      <c r="P680" s="4"/>
      <c r="V680" s="71"/>
    </row>
    <row r="681" customFormat="false" ht="12.75" hidden="false" customHeight="true" outlineLevel="0" collapsed="false">
      <c r="A681" s="228" t="e">
        <f aca="false">IF(OR(G680="",G680&lt;=0,C680&gt;150),NA(),A680+1)</f>
        <v>#N/A</v>
      </c>
      <c r="B681" s="229" t="str">
        <f aca="false">IF(ISERROR(A681),"",IF($D$9="Annually",EDATE(B680,12),EDATE(B680,1)))</f>
        <v/>
      </c>
      <c r="C681" s="230" t="str">
        <f aca="false">IF(ISERROR(A681),"",C680+IF($D$9="Monthly",1/12,1))</f>
        <v/>
      </c>
      <c r="D681" s="231" t="n">
        <f aca="false">IF(L680&lt;&gt;1, IF(G680&lt;E680,0,D680),IF(L680=1,IFERROR(ROUND(IF($G680 - (E680 * 6) &lt; 0, D680, ($G680 - (E680 * 6)) * $D$8 / 12),2),0) ) )</f>
        <v>0</v>
      </c>
      <c r="E681" s="231" t="n">
        <f aca="false">IF(ISERROR(A681), 0,  MAX(0,   MIN(    ROUND(G680 + D681, 2),    ROUND(FV($S$5, IF(type=1, A681, A680), , IF(J681&lt;&gt;1, -$D$20, -$P$16 + P681), 2), 0)   )  ) )</f>
        <v>0</v>
      </c>
      <c r="F681" s="231" t="n">
        <f aca="false">IF(J681&lt;&gt;1, "", IF(J680&lt;&gt;0, F680, $K$12))</f>
        <v>1</v>
      </c>
      <c r="G681" s="232" t="str">
        <f aca="false">IF(ISERROR(A681),"",ROUND(G680-E681+D681,2))</f>
        <v/>
      </c>
      <c r="H681" s="237" t="str">
        <f aca="false">IF(G681&gt;0,IFERROR(H680+(H680*($D$16/12)),""),"")</f>
        <v/>
      </c>
      <c r="I681" s="223" t="str">
        <f aca="false">IF(ISERROR(A682),"",12 - MONTH(B681))</f>
        <v/>
      </c>
      <c r="J681" s="224" t="n">
        <f aca="false">K681</f>
        <v>1</v>
      </c>
      <c r="K681" s="225" t="n">
        <f aca="false">_xlfn.IFNA(IF(B681&gt;=$K$11, 1,0),0)</f>
        <v>1</v>
      </c>
      <c r="L681" s="60" t="str">
        <f aca="false">IF(I681=0,1,"")</f>
        <v/>
      </c>
      <c r="P681" s="4"/>
      <c r="V681" s="71"/>
    </row>
    <row r="682" customFormat="false" ht="12.75" hidden="false" customHeight="true" outlineLevel="0" collapsed="false">
      <c r="A682" s="228" t="e">
        <f aca="false">IF(OR(G681="",G681&lt;=0,C681&gt;150),NA(),A681+1)</f>
        <v>#N/A</v>
      </c>
      <c r="B682" s="229" t="str">
        <f aca="false">IF(ISERROR(A682),"",IF($D$9="Annually",EDATE(B681,12),EDATE(B681,1)))</f>
        <v/>
      </c>
      <c r="C682" s="230" t="str">
        <f aca="false">IF(ISERROR(A682),"",C681+IF($D$9="Monthly",1/12,1))</f>
        <v/>
      </c>
      <c r="D682" s="231" t="n">
        <f aca="false">IF(L681&lt;&gt;1, IF(G681&lt;E681,0,D681),IF(L681=1,IFERROR(ROUND(IF($G681 - (E681 * 6) &lt; 0, D681, ($G681 - (E681 * 6)) * $D$8 / 12),2),0) ) )</f>
        <v>0</v>
      </c>
      <c r="E682" s="231" t="n">
        <f aca="false">IF(ISERROR(A682), 0,  MAX(0,   MIN(    ROUND(G681 + D682, 2),    ROUND(FV($S$5, IF(type=1, A682, A681), , IF(J682&lt;&gt;1, -$D$20, -$P$16 + P682), 2), 0)   )  ) )</f>
        <v>0</v>
      </c>
      <c r="F682" s="231" t="n">
        <f aca="false">IF(J682&lt;&gt;1, "", IF(J681&lt;&gt;0, F681, $K$12))</f>
        <v>1</v>
      </c>
      <c r="G682" s="232" t="str">
        <f aca="false">IF(ISERROR(A682),"",ROUND(G681-E682+D682,2))</f>
        <v/>
      </c>
      <c r="H682" s="237" t="str">
        <f aca="false">IF(G682&gt;0,IFERROR(H681+(H681*($D$16/12)),""),"")</f>
        <v/>
      </c>
      <c r="I682" s="223" t="str">
        <f aca="false">IF(ISERROR(A683),"",12 - MONTH(B682))</f>
        <v/>
      </c>
      <c r="J682" s="224" t="n">
        <f aca="false">K682</f>
        <v>1</v>
      </c>
      <c r="K682" s="225" t="n">
        <f aca="false">_xlfn.IFNA(IF(B682&gt;=$K$11, 1,0),0)</f>
        <v>1</v>
      </c>
      <c r="L682" s="60" t="str">
        <f aca="false">IF(I682=0,1,"")</f>
        <v/>
      </c>
      <c r="P682" s="4"/>
      <c r="V682" s="71"/>
    </row>
    <row r="683" customFormat="false" ht="12.75" hidden="false" customHeight="true" outlineLevel="0" collapsed="false">
      <c r="A683" s="228" t="e">
        <f aca="false">IF(OR(G682="",G682&lt;=0,C682&gt;150),NA(),A682+1)</f>
        <v>#N/A</v>
      </c>
      <c r="B683" s="229" t="str">
        <f aca="false">IF(ISERROR(A683),"",IF($D$9="Annually",EDATE(B682,12),EDATE(B682,1)))</f>
        <v/>
      </c>
      <c r="C683" s="230" t="str">
        <f aca="false">IF(ISERROR(A683),"",C682+IF($D$9="Monthly",1/12,1))</f>
        <v/>
      </c>
      <c r="D683" s="231" t="n">
        <f aca="false">IF(L682&lt;&gt;1, IF(G682&lt;E682,0,D682),IF(L682=1,IFERROR(ROUND(IF($G682 - (E682 * 6) &lt; 0, D682, ($G682 - (E682 * 6)) * $D$8 / 12),2),0) ) )</f>
        <v>0</v>
      </c>
      <c r="E683" s="231" t="n">
        <f aca="false">IF(ISERROR(A683), 0,  MAX(0,   MIN(    ROUND(G682 + D683, 2),    ROUND(FV($S$5, IF(type=1, A683, A682), , IF(J683&lt;&gt;1, -$D$20, -$P$16 + P683), 2), 0)   )  ) )</f>
        <v>0</v>
      </c>
      <c r="F683" s="231" t="n">
        <f aca="false">IF(J683&lt;&gt;1, "", IF(J682&lt;&gt;0, F682, $K$12))</f>
        <v>1</v>
      </c>
      <c r="G683" s="232" t="str">
        <f aca="false">IF(ISERROR(A683),"",ROUND(G682-E683+D683,2))</f>
        <v/>
      </c>
      <c r="H683" s="237" t="str">
        <f aca="false">IF(G683&gt;0,IFERROR(H682+(H682*($D$16/12)),""),"")</f>
        <v/>
      </c>
      <c r="I683" s="223" t="str">
        <f aca="false">IF(ISERROR(A684),"",12 - MONTH(B683))</f>
        <v/>
      </c>
      <c r="J683" s="224" t="n">
        <f aca="false">K683</f>
        <v>1</v>
      </c>
      <c r="K683" s="225" t="n">
        <f aca="false">_xlfn.IFNA(IF(B683&gt;=$K$11, 1,0),0)</f>
        <v>1</v>
      </c>
      <c r="L683" s="60" t="str">
        <f aca="false">IF(I683=0,1,"")</f>
        <v/>
      </c>
      <c r="P683" s="4"/>
      <c r="V683" s="71"/>
    </row>
    <row r="684" customFormat="false" ht="12.75" hidden="false" customHeight="true" outlineLevel="0" collapsed="false">
      <c r="A684" s="228" t="e">
        <f aca="false">IF(OR(G683="",G683&lt;=0,C683&gt;150),NA(),A683+1)</f>
        <v>#N/A</v>
      </c>
      <c r="B684" s="229" t="str">
        <f aca="false">IF(ISERROR(A684),"",IF($D$9="Annually",EDATE(B683,12),EDATE(B683,1)))</f>
        <v/>
      </c>
      <c r="C684" s="230" t="str">
        <f aca="false">IF(ISERROR(A684),"",C683+IF($D$9="Monthly",1/12,1))</f>
        <v/>
      </c>
      <c r="D684" s="231" t="n">
        <f aca="false">IF(L683&lt;&gt;1, IF(G683&lt;E683,0,D683),IF(L683=1,IFERROR(ROUND(IF($G683 - (E683 * 6) &lt; 0, D683, ($G683 - (E683 * 6)) * $D$8 / 12),2),0) ) )</f>
        <v>0</v>
      </c>
      <c r="E684" s="231" t="n">
        <f aca="false">IF(ISERROR(A684), 0,  MAX(0,   MIN(    ROUND(G683 + D684, 2),    ROUND(FV($S$5, IF(type=1, A684, A683), , IF(J684&lt;&gt;1, -$D$20, -$P$16 + P684), 2), 0)   )  ) )</f>
        <v>0</v>
      </c>
      <c r="F684" s="231" t="n">
        <f aca="false">IF(J684&lt;&gt;1, "", IF(J683&lt;&gt;0, F683, $K$12))</f>
        <v>1</v>
      </c>
      <c r="G684" s="232" t="str">
        <f aca="false">IF(ISERROR(A684),"",ROUND(G683-E684+D684,2))</f>
        <v/>
      </c>
      <c r="H684" s="237" t="str">
        <f aca="false">IF(G684&gt;0,IFERROR(H683+(H683*($D$16/12)),""),"")</f>
        <v/>
      </c>
      <c r="I684" s="223" t="str">
        <f aca="false">IF(ISERROR(A685),"",12 - MONTH(B684))</f>
        <v/>
      </c>
      <c r="J684" s="224" t="n">
        <f aca="false">K684</f>
        <v>1</v>
      </c>
      <c r="K684" s="225" t="n">
        <f aca="false">_xlfn.IFNA(IF(B684&gt;=$K$11, 1,0),0)</f>
        <v>1</v>
      </c>
      <c r="L684" s="60" t="str">
        <f aca="false">IF(I684=0,1,"")</f>
        <v/>
      </c>
      <c r="P684" s="4"/>
      <c r="V684" s="71"/>
    </row>
    <row r="685" customFormat="false" ht="12.75" hidden="false" customHeight="true" outlineLevel="0" collapsed="false">
      <c r="A685" s="228" t="e">
        <f aca="false">IF(OR(G684="",G684&lt;=0,C684&gt;150),NA(),A684+1)</f>
        <v>#N/A</v>
      </c>
      <c r="B685" s="229" t="str">
        <f aca="false">IF(ISERROR(A685),"",IF($D$9="Annually",EDATE(B684,12),EDATE(B684,1)))</f>
        <v/>
      </c>
      <c r="C685" s="230" t="str">
        <f aca="false">IF(ISERROR(A685),"",C684+IF($D$9="Monthly",1/12,1))</f>
        <v/>
      </c>
      <c r="D685" s="231" t="n">
        <f aca="false">IF(L684&lt;&gt;1, IF(G684&lt;E684,0,D684),IF(L684=1,IFERROR(ROUND(IF($G684 - (E684 * 6) &lt; 0, D684, ($G684 - (E684 * 6)) * $D$8 / 12),2),0) ) )</f>
        <v>0</v>
      </c>
      <c r="E685" s="231" t="n">
        <f aca="false">IF(ISERROR(A685), 0,  MAX(0,   MIN(    ROUND(G684 + D685, 2),    ROUND(FV($S$5, IF(type=1, A685, A684), , IF(J685&lt;&gt;1, -$D$20, -$P$16 + P685), 2), 0)   )  ) )</f>
        <v>0</v>
      </c>
      <c r="F685" s="231" t="n">
        <f aca="false">IF(J685&lt;&gt;1, "", IF(J684&lt;&gt;0, F684, $K$12))</f>
        <v>1</v>
      </c>
      <c r="G685" s="232" t="str">
        <f aca="false">IF(ISERROR(A685),"",ROUND(G684-E685+D685,2))</f>
        <v/>
      </c>
      <c r="H685" s="237" t="str">
        <f aca="false">IF(G685&gt;0,IFERROR(H684+(H684*($D$16/12)),""),"")</f>
        <v/>
      </c>
      <c r="I685" s="223" t="str">
        <f aca="false">IF(ISERROR(A686),"",12 - MONTH(B685))</f>
        <v/>
      </c>
      <c r="J685" s="224" t="n">
        <f aca="false">K685</f>
        <v>1</v>
      </c>
      <c r="K685" s="225" t="n">
        <f aca="false">_xlfn.IFNA(IF(B685&gt;=$K$11, 1,0),0)</f>
        <v>1</v>
      </c>
      <c r="L685" s="60" t="str">
        <f aca="false">IF(I685=0,1,"")</f>
        <v/>
      </c>
      <c r="P685" s="4"/>
      <c r="V685" s="71"/>
    </row>
    <row r="686" customFormat="false" ht="12.75" hidden="false" customHeight="true" outlineLevel="0" collapsed="false">
      <c r="A686" s="228" t="e">
        <f aca="false">IF(OR(G685="",G685&lt;=0,C685&gt;150),NA(),A685+1)</f>
        <v>#N/A</v>
      </c>
      <c r="B686" s="229" t="str">
        <f aca="false">IF(ISERROR(A686),"",IF($D$9="Annually",EDATE(B685,12),EDATE(B685,1)))</f>
        <v/>
      </c>
      <c r="C686" s="230" t="str">
        <f aca="false">IF(ISERROR(A686),"",C685+IF($D$9="Monthly",1/12,1))</f>
        <v/>
      </c>
      <c r="D686" s="231" t="n">
        <f aca="false">IF(L685&lt;&gt;1, IF(G685&lt;E685,0,D685),IF(L685=1,IFERROR(ROUND(IF($G685 - (E685 * 6) &lt; 0, D685, ($G685 - (E685 * 6)) * $D$8 / 12),2),0) ) )</f>
        <v>0</v>
      </c>
      <c r="E686" s="231" t="n">
        <f aca="false">IF(ISERROR(A686), 0,  MAX(0,   MIN(    ROUND(G685 + D686, 2),    ROUND(FV($S$5, IF(type=1, A686, A685), , IF(J686&lt;&gt;1, -$D$20, -$P$16 + P686), 2), 0)   )  ) )</f>
        <v>0</v>
      </c>
      <c r="F686" s="231" t="n">
        <f aca="false">IF(J686&lt;&gt;1, "", IF(J685&lt;&gt;0, F685, $K$12))</f>
        <v>1</v>
      </c>
      <c r="G686" s="232" t="str">
        <f aca="false">IF(ISERROR(A686),"",ROUND(G685-E686+D686,2))</f>
        <v/>
      </c>
      <c r="H686" s="237" t="str">
        <f aca="false">IF(G686&gt;0,IFERROR(H685+(H685*($D$16/12)),""),"")</f>
        <v/>
      </c>
      <c r="I686" s="223" t="str">
        <f aca="false">IF(ISERROR(A687),"",12 - MONTH(B686))</f>
        <v/>
      </c>
      <c r="J686" s="224" t="n">
        <f aca="false">K686</f>
        <v>1</v>
      </c>
      <c r="K686" s="225" t="n">
        <f aca="false">_xlfn.IFNA(IF(B686&gt;=$K$11, 1,0),0)</f>
        <v>1</v>
      </c>
      <c r="L686" s="60" t="str">
        <f aca="false">IF(I686=0,1,"")</f>
        <v/>
      </c>
      <c r="P686" s="4"/>
      <c r="V686" s="71"/>
    </row>
    <row r="687" customFormat="false" ht="12.75" hidden="false" customHeight="true" outlineLevel="0" collapsed="false">
      <c r="A687" s="228" t="e">
        <f aca="false">IF(OR(G686="",G686&lt;=0,C686&gt;150),NA(),A686+1)</f>
        <v>#N/A</v>
      </c>
      <c r="B687" s="229" t="str">
        <f aca="false">IF(ISERROR(A687),"",IF($D$9="Annually",EDATE(B686,12),EDATE(B686,1)))</f>
        <v/>
      </c>
      <c r="C687" s="230" t="str">
        <f aca="false">IF(ISERROR(A687),"",C686+IF($D$9="Monthly",1/12,1))</f>
        <v/>
      </c>
      <c r="D687" s="231" t="n">
        <f aca="false">IF(L686&lt;&gt;1, IF(G686&lt;E686,0,D686),IF(L686=1,IFERROR(ROUND(IF($G686 - (E686 * 6) &lt; 0, D686, ($G686 - (E686 * 6)) * $D$8 / 12),2),0) ) )</f>
        <v>0</v>
      </c>
      <c r="E687" s="231" t="n">
        <f aca="false">IF(ISERROR(A687), 0,  MAX(0,   MIN(    ROUND(G686 + D687, 2),    ROUND(FV($S$5, IF(type=1, A687, A686), , IF(J687&lt;&gt;1, -$D$20, -$P$16 + P687), 2), 0)   )  ) )</f>
        <v>0</v>
      </c>
      <c r="F687" s="231" t="n">
        <f aca="false">IF(J687&lt;&gt;1, "", IF(J686&lt;&gt;0, F686, $K$12))</f>
        <v>1</v>
      </c>
      <c r="G687" s="232" t="str">
        <f aca="false">IF(ISERROR(A687),"",ROUND(G686-E687+D687,2))</f>
        <v/>
      </c>
      <c r="H687" s="237" t="str">
        <f aca="false">IF(G687&gt;0,IFERROR(H686+(H686*($D$16/12)),""),"")</f>
        <v/>
      </c>
      <c r="I687" s="223" t="str">
        <f aca="false">IF(ISERROR(A688),"",12 - MONTH(B687))</f>
        <v/>
      </c>
      <c r="J687" s="224" t="n">
        <f aca="false">K687</f>
        <v>1</v>
      </c>
      <c r="K687" s="225" t="n">
        <f aca="false">_xlfn.IFNA(IF(B687&gt;=$K$11, 1,0),0)</f>
        <v>1</v>
      </c>
      <c r="L687" s="60" t="str">
        <f aca="false">IF(I687=0,1,"")</f>
        <v/>
      </c>
      <c r="P687" s="4"/>
      <c r="V687" s="71"/>
    </row>
    <row r="688" customFormat="false" ht="12.75" hidden="false" customHeight="true" outlineLevel="0" collapsed="false">
      <c r="A688" s="228" t="e">
        <f aca="false">IF(OR(G687="",G687&lt;=0,C687&gt;150),NA(),A687+1)</f>
        <v>#N/A</v>
      </c>
      <c r="B688" s="229" t="str">
        <f aca="false">IF(ISERROR(A688),"",IF($D$9="Annually",EDATE(B687,12),EDATE(B687,1)))</f>
        <v/>
      </c>
      <c r="C688" s="230" t="str">
        <f aca="false">IF(ISERROR(A688),"",C687+IF($D$9="Monthly",1/12,1))</f>
        <v/>
      </c>
      <c r="D688" s="231" t="n">
        <f aca="false">IF(L687&lt;&gt;1, IF(G687&lt;E687,0,D687),IF(L687=1,IFERROR(ROUND(IF($G687 - (E687 * 6) &lt; 0, D687, ($G687 - (E687 * 6)) * $D$8 / 12),2),0) ) )</f>
        <v>0</v>
      </c>
      <c r="E688" s="231" t="n">
        <f aca="false">IF(ISERROR(A688), 0,  MAX(0,   MIN(    ROUND(G687 + D688, 2),    ROUND(FV($S$5, IF(type=1, A688, A687), , IF(J688&lt;&gt;1, -$D$20, -$P$16 + P688), 2), 0)   )  ) )</f>
        <v>0</v>
      </c>
      <c r="F688" s="231" t="n">
        <f aca="false">IF(J688&lt;&gt;1, "", IF(J687&lt;&gt;0, F687, $K$12))</f>
        <v>1</v>
      </c>
      <c r="G688" s="232" t="str">
        <f aca="false">IF(ISERROR(A688),"",ROUND(G687-E688+D688,2))</f>
        <v/>
      </c>
      <c r="H688" s="237" t="str">
        <f aca="false">IF(G688&gt;0,IFERROR(H687+(H687*($D$16/12)),""),"")</f>
        <v/>
      </c>
      <c r="I688" s="223" t="str">
        <f aca="false">IF(ISERROR(A689),"",12 - MONTH(B688))</f>
        <v/>
      </c>
      <c r="J688" s="224" t="n">
        <f aca="false">K688</f>
        <v>1</v>
      </c>
      <c r="K688" s="225" t="n">
        <f aca="false">_xlfn.IFNA(IF(B688&gt;=$K$11, 1,0),0)</f>
        <v>1</v>
      </c>
      <c r="L688" s="60" t="str">
        <f aca="false">IF(I688=0,1,"")</f>
        <v/>
      </c>
      <c r="P688" s="4"/>
      <c r="V688" s="71"/>
    </row>
    <row r="689" customFormat="false" ht="12.75" hidden="false" customHeight="true" outlineLevel="0" collapsed="false">
      <c r="A689" s="228" t="e">
        <f aca="false">IF(OR(G688="",G688&lt;=0,C688&gt;150),NA(),A688+1)</f>
        <v>#N/A</v>
      </c>
      <c r="B689" s="229" t="str">
        <f aca="false">IF(ISERROR(A689),"",IF($D$9="Annually",EDATE(B688,12),EDATE(B688,1)))</f>
        <v/>
      </c>
      <c r="C689" s="230" t="str">
        <f aca="false">IF(ISERROR(A689),"",C688+IF($D$9="Monthly",1/12,1))</f>
        <v/>
      </c>
      <c r="D689" s="231" t="n">
        <f aca="false">IF(L688&lt;&gt;1, IF(G688&lt;E688,0,D688),IF(L688=1,IFERROR(ROUND(IF($G688 - (E688 * 6) &lt; 0, D688, ($G688 - (E688 * 6)) * $D$8 / 12),2),0) ) )</f>
        <v>0</v>
      </c>
      <c r="E689" s="231" t="n">
        <f aca="false">IF(ISERROR(A689), 0,  MAX(0,   MIN(    ROUND(G688 + D689, 2),    ROUND(FV($S$5, IF(type=1, A689, A688), , IF(J689&lt;&gt;1, -$D$20, -$P$16 + P689), 2), 0)   )  ) )</f>
        <v>0</v>
      </c>
      <c r="F689" s="231" t="n">
        <f aca="false">IF(J689&lt;&gt;1, "", IF(J688&lt;&gt;0, F688, $K$12))</f>
        <v>1</v>
      </c>
      <c r="G689" s="232" t="str">
        <f aca="false">IF(ISERROR(A689),"",ROUND(G688-E689+D689,2))</f>
        <v/>
      </c>
      <c r="H689" s="237" t="str">
        <f aca="false">IF(G689&gt;0,IFERROR(H688+(H688*($D$16/12)),""),"")</f>
        <v/>
      </c>
      <c r="I689" s="223" t="str">
        <f aca="false">IF(ISERROR(A690),"",12 - MONTH(B689))</f>
        <v/>
      </c>
      <c r="J689" s="224" t="n">
        <f aca="false">K689</f>
        <v>1</v>
      </c>
      <c r="K689" s="225" t="n">
        <f aca="false">_xlfn.IFNA(IF(B689&gt;=$K$11, 1,0),0)</f>
        <v>1</v>
      </c>
      <c r="L689" s="60" t="str">
        <f aca="false">IF(I689=0,1,"")</f>
        <v/>
      </c>
      <c r="P689" s="4"/>
      <c r="V689" s="71"/>
    </row>
    <row r="690" customFormat="false" ht="12.75" hidden="false" customHeight="true" outlineLevel="0" collapsed="false">
      <c r="A690" s="228" t="e">
        <f aca="false">IF(OR(G689="",G689&lt;=0,C689&gt;150),NA(),A689+1)</f>
        <v>#N/A</v>
      </c>
      <c r="B690" s="229" t="str">
        <f aca="false">IF(ISERROR(A690),"",IF($D$9="Annually",EDATE(B689,12),EDATE(B689,1)))</f>
        <v/>
      </c>
      <c r="C690" s="230" t="str">
        <f aca="false">IF(ISERROR(A690),"",C689+IF($D$9="Monthly",1/12,1))</f>
        <v/>
      </c>
      <c r="D690" s="231" t="n">
        <f aca="false">IF(L689&lt;&gt;1, IF(G689&lt;E689,0,D689),IF(L689=1,IFERROR(ROUND(IF($G689 - (E689 * 6) &lt; 0, D689, ($G689 - (E689 * 6)) * $D$8 / 12),2),0) ) )</f>
        <v>0</v>
      </c>
      <c r="E690" s="231" t="n">
        <f aca="false">IF(ISERROR(A690), 0,  MAX(0,   MIN(    ROUND(G689 + D690, 2),    ROUND(FV($S$5, IF(type=1, A690, A689), , IF(J690&lt;&gt;1, -$D$20, -$P$16 + P690), 2), 0)   )  ) )</f>
        <v>0</v>
      </c>
      <c r="F690" s="231" t="n">
        <f aca="false">IF(J690&lt;&gt;1, "", IF(J689&lt;&gt;0, F689, $K$12))</f>
        <v>1</v>
      </c>
      <c r="G690" s="232" t="str">
        <f aca="false">IF(ISERROR(A690),"",ROUND(G689-E690+D690,2))</f>
        <v/>
      </c>
      <c r="H690" s="237" t="str">
        <f aca="false">IF(G690&gt;0,IFERROR(H689+(H689*($D$16/12)),""),"")</f>
        <v/>
      </c>
      <c r="I690" s="223" t="str">
        <f aca="false">IF(ISERROR(A691),"",12 - MONTH(B690))</f>
        <v/>
      </c>
      <c r="J690" s="224" t="n">
        <f aca="false">K690</f>
        <v>1</v>
      </c>
      <c r="K690" s="225" t="n">
        <f aca="false">_xlfn.IFNA(IF(B690&gt;=$K$11, 1,0),0)</f>
        <v>1</v>
      </c>
      <c r="L690" s="60" t="str">
        <f aca="false">IF(I690=0,1,"")</f>
        <v/>
      </c>
      <c r="P690" s="4"/>
      <c r="V690" s="71"/>
    </row>
    <row r="691" customFormat="false" ht="12.75" hidden="false" customHeight="true" outlineLevel="0" collapsed="false">
      <c r="A691" s="228" t="e">
        <f aca="false">IF(OR(G690="",G690&lt;=0,C690&gt;150),NA(),A690+1)</f>
        <v>#N/A</v>
      </c>
      <c r="B691" s="229" t="str">
        <f aca="false">IF(ISERROR(A691),"",IF($D$9="Annually",EDATE(B690,12),EDATE(B690,1)))</f>
        <v/>
      </c>
      <c r="C691" s="230" t="str">
        <f aca="false">IF(ISERROR(A691),"",C690+IF($D$9="Monthly",1/12,1))</f>
        <v/>
      </c>
      <c r="D691" s="231" t="n">
        <f aca="false">IF(L690&lt;&gt;1, IF(G690&lt;E690,0,D690),IF(L690=1,IFERROR(ROUND(IF($G690 - (E690 * 6) &lt; 0, D690, ($G690 - (E690 * 6)) * $D$8 / 12),2),0) ) )</f>
        <v>0</v>
      </c>
      <c r="E691" s="231" t="n">
        <f aca="false">IF(ISERROR(A691), 0,  MAX(0,   MIN(    ROUND(G690 + D691, 2),    ROUND(FV($S$5, IF(type=1, A691, A690), , IF(J691&lt;&gt;1, -$D$20, -$P$16 + P691), 2), 0)   )  ) )</f>
        <v>0</v>
      </c>
      <c r="F691" s="231" t="n">
        <f aca="false">IF(J691&lt;&gt;1, "", IF(J690&lt;&gt;0, F690, $K$12))</f>
        <v>1</v>
      </c>
      <c r="G691" s="232" t="str">
        <f aca="false">IF(ISERROR(A691),"",ROUND(G690-E691+D691,2))</f>
        <v/>
      </c>
      <c r="H691" s="237" t="str">
        <f aca="false">IF(G691&gt;0,IFERROR(H690+(H690*($D$16/12)),""),"")</f>
        <v/>
      </c>
      <c r="I691" s="223" t="str">
        <f aca="false">IF(ISERROR(A692),"",12 - MONTH(B691))</f>
        <v/>
      </c>
      <c r="J691" s="224" t="n">
        <f aca="false">K691</f>
        <v>1</v>
      </c>
      <c r="K691" s="225" t="n">
        <f aca="false">_xlfn.IFNA(IF(B691&gt;=$K$11, 1,0),0)</f>
        <v>1</v>
      </c>
      <c r="L691" s="60" t="str">
        <f aca="false">IF(I691=0,1,"")</f>
        <v/>
      </c>
      <c r="P691" s="4"/>
      <c r="V691" s="71"/>
    </row>
    <row r="692" customFormat="false" ht="12.75" hidden="false" customHeight="true" outlineLevel="0" collapsed="false">
      <c r="A692" s="228" t="e">
        <f aca="false">IF(OR(G691="",G691&lt;=0,C691&gt;150),NA(),A691+1)</f>
        <v>#N/A</v>
      </c>
      <c r="B692" s="229" t="str">
        <f aca="false">IF(ISERROR(A692),"",IF($D$9="Annually",EDATE(B691,12),EDATE(B691,1)))</f>
        <v/>
      </c>
      <c r="C692" s="230" t="str">
        <f aca="false">IF(ISERROR(A692),"",C691+IF($D$9="Monthly",1/12,1))</f>
        <v/>
      </c>
      <c r="D692" s="231" t="n">
        <f aca="false">IF(L691&lt;&gt;1, IF(G691&lt;E691,0,D691),IF(L691=1,IFERROR(ROUND(IF($G691 - (E691 * 6) &lt; 0, D691, ($G691 - (E691 * 6)) * $D$8 / 12),2),0) ) )</f>
        <v>0</v>
      </c>
      <c r="E692" s="231" t="n">
        <f aca="false">IF(ISERROR(A692), 0,  MAX(0,   MIN(    ROUND(G691 + D692, 2),    ROUND(FV($S$5, IF(type=1, A692, A691), , IF(J692&lt;&gt;1, -$D$20, -$P$16 + P692), 2), 0)   )  ) )</f>
        <v>0</v>
      </c>
      <c r="F692" s="231" t="n">
        <f aca="false">IF(J692&lt;&gt;1, "", IF(J691&lt;&gt;0, F691, $K$12))</f>
        <v>1</v>
      </c>
      <c r="G692" s="232" t="str">
        <f aca="false">IF(ISERROR(A692),"",ROUND(G691-E692+D692,2))</f>
        <v/>
      </c>
      <c r="H692" s="237" t="str">
        <f aca="false">IF(G692&gt;0,IFERROR(H691+(H691*($D$16/12)),""),"")</f>
        <v/>
      </c>
      <c r="I692" s="223" t="str">
        <f aca="false">IF(ISERROR(A693),"",12 - MONTH(B692))</f>
        <v/>
      </c>
      <c r="J692" s="224" t="n">
        <f aca="false">K692</f>
        <v>1</v>
      </c>
      <c r="K692" s="225" t="n">
        <f aca="false">_xlfn.IFNA(IF(B692&gt;=$K$11, 1,0),0)</f>
        <v>1</v>
      </c>
      <c r="L692" s="60" t="str">
        <f aca="false">IF(I692=0,1,"")</f>
        <v/>
      </c>
      <c r="P692" s="4"/>
      <c r="V692" s="71"/>
    </row>
    <row r="693" customFormat="false" ht="12.75" hidden="false" customHeight="true" outlineLevel="0" collapsed="false">
      <c r="A693" s="228" t="e">
        <f aca="false">IF(OR(G692="",G692&lt;=0,C692&gt;150),NA(),A692+1)</f>
        <v>#N/A</v>
      </c>
      <c r="B693" s="229" t="str">
        <f aca="false">IF(ISERROR(A693),"",IF($D$9="Annually",EDATE(B692,12),EDATE(B692,1)))</f>
        <v/>
      </c>
      <c r="C693" s="230" t="str">
        <f aca="false">IF(ISERROR(A693),"",C692+IF($D$9="Monthly",1/12,1))</f>
        <v/>
      </c>
      <c r="D693" s="231" t="n">
        <f aca="false">IF(L692&lt;&gt;1, IF(G692&lt;E692,0,D692),IF(L692=1,IFERROR(ROUND(IF($G692 - (E692 * 6) &lt; 0, D692, ($G692 - (E692 * 6)) * $D$8 / 12),2),0) ) )</f>
        <v>0</v>
      </c>
      <c r="E693" s="231" t="n">
        <f aca="false">IF(ISERROR(A693), 0,  MAX(0,   MIN(    ROUND(G692 + D693, 2),    ROUND(FV($S$5, IF(type=1, A693, A692), , IF(J693&lt;&gt;1, -$D$20, -$P$16 + P693), 2), 0)   )  ) )</f>
        <v>0</v>
      </c>
      <c r="F693" s="231" t="n">
        <f aca="false">IF(J693&lt;&gt;1, "", IF(J692&lt;&gt;0, F692, $K$12))</f>
        <v>1</v>
      </c>
      <c r="G693" s="232" t="str">
        <f aca="false">IF(ISERROR(A693),"",ROUND(G692-E693+D693,2))</f>
        <v/>
      </c>
      <c r="H693" s="237" t="str">
        <f aca="false">IF(G693&gt;0,IFERROR(H692+(H692*($D$16/12)),""),"")</f>
        <v/>
      </c>
      <c r="I693" s="223" t="str">
        <f aca="false">IF(ISERROR(A694),"",12 - MONTH(B693))</f>
        <v/>
      </c>
      <c r="J693" s="224" t="n">
        <f aca="false">K693</f>
        <v>1</v>
      </c>
      <c r="K693" s="225" t="n">
        <f aca="false">_xlfn.IFNA(IF(B693&gt;=$K$11, 1,0),0)</f>
        <v>1</v>
      </c>
      <c r="L693" s="60" t="str">
        <f aca="false">IF(I693=0,1,"")</f>
        <v/>
      </c>
      <c r="P693" s="4"/>
      <c r="V693" s="71"/>
    </row>
    <row r="694" customFormat="false" ht="12.75" hidden="false" customHeight="true" outlineLevel="0" collapsed="false">
      <c r="A694" s="228" t="e">
        <f aca="false">IF(OR(G693="",G693&lt;=0,C693&gt;150),NA(),A693+1)</f>
        <v>#N/A</v>
      </c>
      <c r="B694" s="229" t="str">
        <f aca="false">IF(ISERROR(A694),"",IF($D$9="Annually",EDATE(B693,12),EDATE(B693,1)))</f>
        <v/>
      </c>
      <c r="C694" s="230" t="str">
        <f aca="false">IF(ISERROR(A694),"",C693+IF($D$9="Monthly",1/12,1))</f>
        <v/>
      </c>
      <c r="D694" s="231" t="n">
        <f aca="false">IF(L693&lt;&gt;1, IF(G693&lt;E693,0,D693),IF(L693=1,IFERROR(ROUND(IF($G693 - (E693 * 6) &lt; 0, D693, ($G693 - (E693 * 6)) * $D$8 / 12),2),0) ) )</f>
        <v>0</v>
      </c>
      <c r="E694" s="231" t="n">
        <f aca="false">IF(ISERROR(A694), 0,  MAX(0,   MIN(    ROUND(G693 + D694, 2),    ROUND(FV($S$5, IF(type=1, A694, A693), , IF(J694&lt;&gt;1, -$D$20, -$P$16 + P694), 2), 0)   )  ) )</f>
        <v>0</v>
      </c>
      <c r="F694" s="231" t="n">
        <f aca="false">IF(J694&lt;&gt;1, "", IF(J693&lt;&gt;0, F693, $K$12))</f>
        <v>1</v>
      </c>
      <c r="G694" s="232" t="str">
        <f aca="false">IF(ISERROR(A694),"",ROUND(G693-E694+D694,2))</f>
        <v/>
      </c>
      <c r="H694" s="237" t="str">
        <f aca="false">IF(G694&gt;0,IFERROR(H693+(H693*($D$16/12)),""),"")</f>
        <v/>
      </c>
      <c r="I694" s="223" t="str">
        <f aca="false">IF(ISERROR(A695),"",12 - MONTH(B694))</f>
        <v/>
      </c>
      <c r="J694" s="224" t="n">
        <f aca="false">K694</f>
        <v>1</v>
      </c>
      <c r="K694" s="225" t="n">
        <f aca="false">_xlfn.IFNA(IF(B694&gt;=$K$11, 1,0),0)</f>
        <v>1</v>
      </c>
      <c r="L694" s="60" t="str">
        <f aca="false">IF(I694=0,1,"")</f>
        <v/>
      </c>
      <c r="P694" s="4"/>
      <c r="V694" s="71"/>
    </row>
    <row r="695" customFormat="false" ht="12.75" hidden="false" customHeight="true" outlineLevel="0" collapsed="false">
      <c r="A695" s="228" t="e">
        <f aca="false">IF(OR(G694="",G694&lt;=0,C694&gt;150),NA(),A694+1)</f>
        <v>#N/A</v>
      </c>
      <c r="B695" s="229" t="str">
        <f aca="false">IF(ISERROR(A695),"",IF($D$9="Annually",EDATE(B694,12),EDATE(B694,1)))</f>
        <v/>
      </c>
      <c r="C695" s="230" t="str">
        <f aca="false">IF(ISERROR(A695),"",C694+IF($D$9="Monthly",1/12,1))</f>
        <v/>
      </c>
      <c r="D695" s="231" t="n">
        <f aca="false">IF(L694&lt;&gt;1, IF(G694&lt;E694,0,D694),IF(L694=1,IFERROR(ROUND(IF($G694 - (E694 * 6) &lt; 0, D694, ($G694 - (E694 * 6)) * $D$8 / 12),2),0) ) )</f>
        <v>0</v>
      </c>
      <c r="E695" s="231" t="n">
        <f aca="false">IF(ISERROR(A695), 0,  MAX(0,   MIN(    ROUND(G694 + D695, 2),    ROUND(FV($S$5, IF(type=1, A695, A694), , IF(J695&lt;&gt;1, -$D$20, -$P$16 + P695), 2), 0)   )  ) )</f>
        <v>0</v>
      </c>
      <c r="F695" s="231" t="n">
        <f aca="false">IF(J695&lt;&gt;1, "", IF(J694&lt;&gt;0, F694, $K$12))</f>
        <v>1</v>
      </c>
      <c r="G695" s="232" t="str">
        <f aca="false">IF(ISERROR(A695),"",ROUND(G694-E695+D695,2))</f>
        <v/>
      </c>
      <c r="H695" s="237" t="str">
        <f aca="false">IF(G695&gt;0,IFERROR(H694+(H694*($D$16/12)),""),"")</f>
        <v/>
      </c>
      <c r="I695" s="223" t="str">
        <f aca="false">IF(ISERROR(A696),"",12 - MONTH(B695))</f>
        <v/>
      </c>
      <c r="J695" s="224" t="n">
        <f aca="false">K695</f>
        <v>1</v>
      </c>
      <c r="K695" s="225" t="n">
        <f aca="false">_xlfn.IFNA(IF(B695&gt;=$K$11, 1,0),0)</f>
        <v>1</v>
      </c>
      <c r="L695" s="60" t="str">
        <f aca="false">IF(I695=0,1,"")</f>
        <v/>
      </c>
      <c r="P695" s="4"/>
      <c r="V695" s="71"/>
    </row>
    <row r="696" customFormat="false" ht="12.75" hidden="false" customHeight="true" outlineLevel="0" collapsed="false">
      <c r="A696" s="228" t="e">
        <f aca="false">IF(OR(G695="",G695&lt;=0,C695&gt;150),NA(),A695+1)</f>
        <v>#N/A</v>
      </c>
      <c r="B696" s="229" t="str">
        <f aca="false">IF(ISERROR(A696),"",IF($D$9="Annually",EDATE(B695,12),EDATE(B695,1)))</f>
        <v/>
      </c>
      <c r="C696" s="230" t="str">
        <f aca="false">IF(ISERROR(A696),"",C695+IF($D$9="Monthly",1/12,1))</f>
        <v/>
      </c>
      <c r="D696" s="231" t="n">
        <f aca="false">IF(L695&lt;&gt;1, IF(G695&lt;E695,0,D695),IF(L695=1,IFERROR(ROUND(IF($G695 - (E695 * 6) &lt; 0, D695, ($G695 - (E695 * 6)) * $D$8 / 12),2),0) ) )</f>
        <v>0</v>
      </c>
      <c r="E696" s="231" t="n">
        <f aca="false">IF(ISERROR(A696), 0,  MAX(0,   MIN(    ROUND(G695 + D696, 2),    ROUND(FV($S$5, IF(type=1, A696, A695), , IF(J696&lt;&gt;1, -$D$20, -$P$16 + P696), 2), 0)   )  ) )</f>
        <v>0</v>
      </c>
      <c r="F696" s="231" t="n">
        <f aca="false">IF(J696&lt;&gt;1, "", IF(J695&lt;&gt;0, F695, $K$12))</f>
        <v>1</v>
      </c>
      <c r="G696" s="232" t="str">
        <f aca="false">IF(ISERROR(A696),"",ROUND(G695-E696+D696,2))</f>
        <v/>
      </c>
      <c r="H696" s="237" t="str">
        <f aca="false">IF(G696&gt;0,IFERROR(H695+(H695*($D$16/12)),""),"")</f>
        <v/>
      </c>
      <c r="I696" s="223" t="str">
        <f aca="false">IF(ISERROR(A697),"",12 - MONTH(B696))</f>
        <v/>
      </c>
      <c r="J696" s="224" t="n">
        <f aca="false">K696</f>
        <v>1</v>
      </c>
      <c r="K696" s="225" t="n">
        <f aca="false">_xlfn.IFNA(IF(B696&gt;=$K$11, 1,0),0)</f>
        <v>1</v>
      </c>
      <c r="L696" s="60" t="str">
        <f aca="false">IF(I696=0,1,"")</f>
        <v/>
      </c>
      <c r="P696" s="4"/>
      <c r="V696" s="71"/>
    </row>
    <row r="697" customFormat="false" ht="12.75" hidden="false" customHeight="true" outlineLevel="0" collapsed="false">
      <c r="A697" s="228" t="e">
        <f aca="false">IF(OR(G696="",G696&lt;=0,C696&gt;150),NA(),A696+1)</f>
        <v>#N/A</v>
      </c>
      <c r="B697" s="229" t="str">
        <f aca="false">IF(ISERROR(A697),"",IF($D$9="Annually",EDATE(B696,12),EDATE(B696,1)))</f>
        <v/>
      </c>
      <c r="C697" s="230" t="str">
        <f aca="false">IF(ISERROR(A697),"",C696+IF($D$9="Monthly",1/12,1))</f>
        <v/>
      </c>
      <c r="D697" s="231" t="n">
        <f aca="false">IF(L696&lt;&gt;1, IF(G696&lt;E696,0,D696),IF(L696=1,IFERROR(ROUND(IF($G696 - (E696 * 6) &lt; 0, D696, ($G696 - (E696 * 6)) * $D$8 / 12),2),0) ) )</f>
        <v>0</v>
      </c>
      <c r="E697" s="231" t="n">
        <f aca="false">IF(ISERROR(A697), 0,  MAX(0,   MIN(    ROUND(G696 + D697, 2),    ROUND(FV($S$5, IF(type=1, A697, A696), , IF(J697&lt;&gt;1, -$D$20, -$P$16 + P697), 2), 0)   )  ) )</f>
        <v>0</v>
      </c>
      <c r="F697" s="231" t="n">
        <f aca="false">IF(J697&lt;&gt;1, "", IF(J696&lt;&gt;0, F696, $K$12))</f>
        <v>1</v>
      </c>
      <c r="G697" s="232" t="str">
        <f aca="false">IF(ISERROR(A697),"",ROUND(G696-E697+D697,2))</f>
        <v/>
      </c>
      <c r="H697" s="237" t="str">
        <f aca="false">IF(G697&gt;0,IFERROR(H696+(H696*($D$16/12)),""),"")</f>
        <v/>
      </c>
      <c r="I697" s="223" t="str">
        <f aca="false">IF(ISERROR(A698),"",12 - MONTH(B697))</f>
        <v/>
      </c>
      <c r="J697" s="224" t="n">
        <f aca="false">K697</f>
        <v>1</v>
      </c>
      <c r="K697" s="225" t="n">
        <f aca="false">_xlfn.IFNA(IF(B697&gt;=$K$11, 1,0),0)</f>
        <v>1</v>
      </c>
      <c r="L697" s="60" t="str">
        <f aca="false">IF(I697=0,1,"")</f>
        <v/>
      </c>
      <c r="P697" s="4"/>
      <c r="V697" s="71"/>
    </row>
    <row r="698" customFormat="false" ht="12.75" hidden="false" customHeight="true" outlineLevel="0" collapsed="false">
      <c r="A698" s="228" t="e">
        <f aca="false">IF(OR(G697="",G697&lt;=0,C697&gt;150),NA(),A697+1)</f>
        <v>#N/A</v>
      </c>
      <c r="B698" s="229" t="str">
        <f aca="false">IF(ISERROR(A698),"",IF($D$9="Annually",EDATE(B697,12),EDATE(B697,1)))</f>
        <v/>
      </c>
      <c r="C698" s="230" t="str">
        <f aca="false">IF(ISERROR(A698),"",C697+IF($D$9="Monthly",1/12,1))</f>
        <v/>
      </c>
      <c r="D698" s="231" t="n">
        <f aca="false">IF(L697&lt;&gt;1, IF(G697&lt;E697,0,D697),IF(L697=1,IFERROR(ROUND(IF($G697 - (E697 * 6) &lt; 0, D697, ($G697 - (E697 * 6)) * $D$8 / 12),2),0) ) )</f>
        <v>0</v>
      </c>
      <c r="E698" s="231" t="n">
        <f aca="false">IF(ISERROR(A698), 0,  MAX(0,   MIN(    ROUND(G697 + D698, 2),    ROUND(FV($S$5, IF(type=1, A698, A697), , IF(J698&lt;&gt;1, -$D$20, -$P$16 + P698), 2), 0)   )  ) )</f>
        <v>0</v>
      </c>
      <c r="F698" s="231" t="n">
        <f aca="false">IF(J698&lt;&gt;1, "", IF(J697&lt;&gt;0, F697, $K$12))</f>
        <v>1</v>
      </c>
      <c r="G698" s="232" t="str">
        <f aca="false">IF(ISERROR(A698),"",ROUND(G697-E698+D698,2))</f>
        <v/>
      </c>
      <c r="H698" s="237" t="str">
        <f aca="false">IF(G698&gt;0,IFERROR(H697+(H697*($D$16/12)),""),"")</f>
        <v/>
      </c>
      <c r="I698" s="223" t="str">
        <f aca="false">IF(ISERROR(A699),"",12 - MONTH(B698))</f>
        <v/>
      </c>
      <c r="J698" s="224" t="n">
        <f aca="false">K698</f>
        <v>1</v>
      </c>
      <c r="K698" s="225" t="n">
        <f aca="false">_xlfn.IFNA(IF(B698&gt;=$K$11, 1,0),0)</f>
        <v>1</v>
      </c>
      <c r="L698" s="60" t="str">
        <f aca="false">IF(I698=0,1,"")</f>
        <v/>
      </c>
      <c r="P698" s="4"/>
      <c r="V698" s="71"/>
    </row>
    <row r="699" customFormat="false" ht="12.75" hidden="false" customHeight="true" outlineLevel="0" collapsed="false">
      <c r="A699" s="228" t="e">
        <f aca="false">IF(OR(G698="",G698&lt;=0,C698&gt;150),NA(),A698+1)</f>
        <v>#N/A</v>
      </c>
      <c r="B699" s="229" t="str">
        <f aca="false">IF(ISERROR(A699),"",IF($D$9="Annually",EDATE(B698,12),EDATE(B698,1)))</f>
        <v/>
      </c>
      <c r="C699" s="230" t="str">
        <f aca="false">IF(ISERROR(A699),"",C698+IF($D$9="Monthly",1/12,1))</f>
        <v/>
      </c>
      <c r="D699" s="231" t="n">
        <f aca="false">IF(L698&lt;&gt;1, IF(G698&lt;E698,0,D698),IF(L698=1,IFERROR(ROUND(IF($G698 - (E698 * 6) &lt; 0, D698, ($G698 - (E698 * 6)) * $D$8 / 12),2),0) ) )</f>
        <v>0</v>
      </c>
      <c r="E699" s="231" t="n">
        <f aca="false">IF(ISERROR(A699), 0,  MAX(0,   MIN(    ROUND(G698 + D699, 2),    ROUND(FV($S$5, IF(type=1, A699, A698), , IF(J699&lt;&gt;1, -$D$20, -$P$16 + P699), 2), 0)   )  ) )</f>
        <v>0</v>
      </c>
      <c r="F699" s="231" t="n">
        <f aca="false">IF(J699&lt;&gt;1, "", IF(J698&lt;&gt;0, F698, $K$12))</f>
        <v>1</v>
      </c>
      <c r="G699" s="232" t="str">
        <f aca="false">IF(ISERROR(A699),"",ROUND(G698-E699+D699,2))</f>
        <v/>
      </c>
      <c r="H699" s="237" t="str">
        <f aca="false">IF(G699&gt;0,IFERROR(H698+(H698*($D$16/12)),""),"")</f>
        <v/>
      </c>
      <c r="I699" s="223" t="str">
        <f aca="false">IF(ISERROR(A700),"",12 - MONTH(B699))</f>
        <v/>
      </c>
      <c r="J699" s="224" t="n">
        <f aca="false">K699</f>
        <v>1</v>
      </c>
      <c r="K699" s="225" t="n">
        <f aca="false">_xlfn.IFNA(IF(B699&gt;=$K$11, 1,0),0)</f>
        <v>1</v>
      </c>
      <c r="L699" s="60" t="str">
        <f aca="false">IF(I699=0,1,"")</f>
        <v/>
      </c>
      <c r="P699" s="4"/>
      <c r="V699" s="71"/>
    </row>
    <row r="700" customFormat="false" ht="12.75" hidden="false" customHeight="true" outlineLevel="0" collapsed="false">
      <c r="A700" s="228" t="e">
        <f aca="false">IF(OR(G699="",G699&lt;=0,C699&gt;150),NA(),A699+1)</f>
        <v>#N/A</v>
      </c>
      <c r="B700" s="229" t="str">
        <f aca="false">IF(ISERROR(A700),"",IF($D$9="Annually",EDATE(B699,12),EDATE(B699,1)))</f>
        <v/>
      </c>
      <c r="C700" s="230" t="str">
        <f aca="false">IF(ISERROR(A700),"",C699+IF($D$9="Monthly",1/12,1))</f>
        <v/>
      </c>
      <c r="D700" s="231" t="n">
        <f aca="false">IF(L699&lt;&gt;1, IF(G699&lt;E699,0,D699),IF(L699=1,IFERROR(ROUND(IF($G699 - (E699 * 6) &lt; 0, D699, ($G699 - (E699 * 6)) * $D$8 / 12),2),0) ) )</f>
        <v>0</v>
      </c>
      <c r="E700" s="231" t="n">
        <f aca="false">IF(ISERROR(A700), 0,  MAX(0,   MIN(    ROUND(G699 + D700, 2),    ROUND(FV($S$5, IF(type=1, A700, A699), , IF(J700&lt;&gt;1, -$D$20, -$P$16 + P700), 2), 0)   )  ) )</f>
        <v>0</v>
      </c>
      <c r="F700" s="231" t="n">
        <f aca="false">IF(J700&lt;&gt;1, "", IF(J699&lt;&gt;0, F699, $K$12))</f>
        <v>1</v>
      </c>
      <c r="G700" s="232" t="str">
        <f aca="false">IF(ISERROR(A700),"",ROUND(G699-E700+D700,2))</f>
        <v/>
      </c>
      <c r="H700" s="237" t="str">
        <f aca="false">IF(G700&gt;0,IFERROR(H699+(H699*($D$16/12)),""),"")</f>
        <v/>
      </c>
      <c r="I700" s="223" t="str">
        <f aca="false">IF(ISERROR(A701),"",12 - MONTH(B700))</f>
        <v/>
      </c>
      <c r="J700" s="224" t="n">
        <f aca="false">K700</f>
        <v>1</v>
      </c>
      <c r="K700" s="225" t="n">
        <f aca="false">_xlfn.IFNA(IF(B700&gt;=$K$11, 1,0),0)</f>
        <v>1</v>
      </c>
      <c r="L700" s="60" t="str">
        <f aca="false">IF(I700=0,1,"")</f>
        <v/>
      </c>
      <c r="P700" s="4"/>
      <c r="V700" s="71"/>
    </row>
    <row r="701" customFormat="false" ht="12.75" hidden="false" customHeight="true" outlineLevel="0" collapsed="false">
      <c r="A701" s="228" t="e">
        <f aca="false">IF(OR(G700="",G700&lt;=0,C700&gt;150),NA(),A700+1)</f>
        <v>#N/A</v>
      </c>
      <c r="B701" s="229" t="str">
        <f aca="false">IF(ISERROR(A701),"",IF($D$9="Annually",EDATE(B700,12),EDATE(B700,1)))</f>
        <v/>
      </c>
      <c r="C701" s="230" t="str">
        <f aca="false">IF(ISERROR(A701),"",C700+IF($D$9="Monthly",1/12,1))</f>
        <v/>
      </c>
      <c r="D701" s="231" t="n">
        <f aca="false">IF(L700&lt;&gt;1, IF(G700&lt;E700,0,D700),IF(L700=1,IFERROR(ROUND(IF($G700 - (E700 * 6) &lt; 0, D700, ($G700 - (E700 * 6)) * $D$8 / 12),2),0) ) )</f>
        <v>0</v>
      </c>
      <c r="E701" s="231" t="n">
        <f aca="false">IF(ISERROR(A701), 0,  MAX(0,   MIN(    ROUND(G700 + D701, 2),    ROUND(FV($S$5, IF(type=1, A701, A700), , IF(J701&lt;&gt;1, -$D$20, -$P$16 + P701), 2), 0)   )  ) )</f>
        <v>0</v>
      </c>
      <c r="F701" s="231" t="n">
        <f aca="false">IF(J701&lt;&gt;1, "", IF(J700&lt;&gt;0, F700, $K$12))</f>
        <v>1</v>
      </c>
      <c r="G701" s="232" t="str">
        <f aca="false">IF(ISERROR(A701),"",ROUND(G700-E701+D701,2))</f>
        <v/>
      </c>
      <c r="H701" s="237" t="str">
        <f aca="false">IF(G701&gt;0,IFERROR(H700+(H700*($D$16/12)),""),"")</f>
        <v/>
      </c>
      <c r="I701" s="223" t="str">
        <f aca="false">IF(ISERROR(A702),"",12 - MONTH(B701))</f>
        <v/>
      </c>
      <c r="J701" s="224" t="n">
        <f aca="false">K701</f>
        <v>1</v>
      </c>
      <c r="K701" s="225" t="n">
        <f aca="false">_xlfn.IFNA(IF(B701&gt;=$K$11, 1,0),0)</f>
        <v>1</v>
      </c>
      <c r="L701" s="60" t="str">
        <f aca="false">IF(I701=0,1,"")</f>
        <v/>
      </c>
      <c r="P701" s="4"/>
      <c r="V701" s="71"/>
    </row>
    <row r="702" customFormat="false" ht="12.75" hidden="false" customHeight="true" outlineLevel="0" collapsed="false">
      <c r="A702" s="228" t="e">
        <f aca="false">IF(OR(G701="",G701&lt;=0,C701&gt;150),NA(),A701+1)</f>
        <v>#N/A</v>
      </c>
      <c r="B702" s="229" t="str">
        <f aca="false">IF(ISERROR(A702),"",IF($D$9="Annually",EDATE(B701,12),EDATE(B701,1)))</f>
        <v/>
      </c>
      <c r="C702" s="230" t="str">
        <f aca="false">IF(ISERROR(A702),"",C701+IF($D$9="Monthly",1/12,1))</f>
        <v/>
      </c>
      <c r="D702" s="231" t="n">
        <f aca="false">IF(L701&lt;&gt;1, IF(G701&lt;E701,0,D701),IF(L701=1,IFERROR(ROUND(IF($G701 - (E701 * 6) &lt; 0, D701, ($G701 - (E701 * 6)) * $D$8 / 12),2),0) ) )</f>
        <v>0</v>
      </c>
      <c r="E702" s="231" t="n">
        <f aca="false">IF(ISERROR(A702), 0,  MAX(0,   MIN(    ROUND(G701 + D702, 2),    ROUND(FV($S$5, IF(type=1, A702, A701), , IF(J702&lt;&gt;1, -$D$20, -$P$16 + P702), 2), 0)   )  ) )</f>
        <v>0</v>
      </c>
      <c r="F702" s="231" t="n">
        <f aca="false">IF(J702&lt;&gt;1, "", IF(J701&lt;&gt;0, F701, $K$12))</f>
        <v>1</v>
      </c>
      <c r="G702" s="232" t="str">
        <f aca="false">IF(ISERROR(A702),"",ROUND(G701-E702+D702,2))</f>
        <v/>
      </c>
      <c r="H702" s="237" t="str">
        <f aca="false">IF(G702&gt;0,IFERROR(H701+(H701*($D$16/12)),""),"")</f>
        <v/>
      </c>
      <c r="I702" s="223" t="str">
        <f aca="false">IF(ISERROR(A703),"",12 - MONTH(B702))</f>
        <v/>
      </c>
      <c r="J702" s="224" t="n">
        <f aca="false">K702</f>
        <v>1</v>
      </c>
      <c r="K702" s="225" t="n">
        <f aca="false">_xlfn.IFNA(IF(B702&gt;=$K$11, 1,0),0)</f>
        <v>1</v>
      </c>
      <c r="L702" s="60" t="str">
        <f aca="false">IF(I702=0,1,"")</f>
        <v/>
      </c>
      <c r="P702" s="4"/>
      <c r="V702" s="71"/>
    </row>
    <row r="703" customFormat="false" ht="12.75" hidden="false" customHeight="true" outlineLevel="0" collapsed="false">
      <c r="A703" s="228" t="e">
        <f aca="false">IF(OR(G702="",G702&lt;=0,C702&gt;150),NA(),A702+1)</f>
        <v>#N/A</v>
      </c>
      <c r="B703" s="229" t="str">
        <f aca="false">IF(ISERROR(A703),"",IF($D$9="Annually",EDATE(B702,12),EDATE(B702,1)))</f>
        <v/>
      </c>
      <c r="C703" s="230" t="str">
        <f aca="false">IF(ISERROR(A703),"",C702+IF($D$9="Monthly",1/12,1))</f>
        <v/>
      </c>
      <c r="D703" s="231" t="n">
        <f aca="false">IF(L702&lt;&gt;1, IF(G702&lt;E702,0,D702),IF(L702=1,IFERROR(ROUND(IF($G702 - (E702 * 6) &lt; 0, D702, ($G702 - (E702 * 6)) * $D$8 / 12),2),0) ) )</f>
        <v>0</v>
      </c>
      <c r="E703" s="231" t="n">
        <f aca="false">IF(ISERROR(A703), 0,  MAX(0,   MIN(    ROUND(G702 + D703, 2),    ROUND(FV($S$5, IF(type=1, A703, A702), , IF(J703&lt;&gt;1, -$D$20, -$P$16 + P703), 2), 0)   )  ) )</f>
        <v>0</v>
      </c>
      <c r="F703" s="231" t="n">
        <f aca="false">IF(J703&lt;&gt;1, "", IF(J702&lt;&gt;0, F702, $K$12))</f>
        <v>1</v>
      </c>
      <c r="G703" s="232" t="str">
        <f aca="false">IF(ISERROR(A703),"",ROUND(G702-E703+D703,2))</f>
        <v/>
      </c>
      <c r="H703" s="237" t="str">
        <f aca="false">IF(G703&gt;0,IFERROR(H702+(H702*($D$16/12)),""),"")</f>
        <v/>
      </c>
      <c r="I703" s="223" t="str">
        <f aca="false">IF(ISERROR(A704),"",12 - MONTH(B703))</f>
        <v/>
      </c>
      <c r="J703" s="224" t="n">
        <f aca="false">K703</f>
        <v>1</v>
      </c>
      <c r="K703" s="225" t="n">
        <f aca="false">_xlfn.IFNA(IF(B703&gt;=$K$11, 1,0),0)</f>
        <v>1</v>
      </c>
      <c r="L703" s="60" t="str">
        <f aca="false">IF(I703=0,1,"")</f>
        <v/>
      </c>
      <c r="P703" s="4"/>
      <c r="V703" s="71"/>
    </row>
    <row r="704" customFormat="false" ht="12.75" hidden="false" customHeight="true" outlineLevel="0" collapsed="false">
      <c r="A704" s="228" t="e">
        <f aca="false">IF(OR(G703="",G703&lt;=0,C703&gt;150),NA(),A703+1)</f>
        <v>#N/A</v>
      </c>
      <c r="B704" s="229" t="str">
        <f aca="false">IF(ISERROR(A704),"",IF($D$9="Annually",EDATE(B703,12),EDATE(B703,1)))</f>
        <v/>
      </c>
      <c r="C704" s="230" t="str">
        <f aca="false">IF(ISERROR(A704),"",C703+IF($D$9="Monthly",1/12,1))</f>
        <v/>
      </c>
      <c r="D704" s="231" t="n">
        <f aca="false">IF(L703&lt;&gt;1, IF(G703&lt;E703,0,D703),IF(L703=1,IFERROR(ROUND(IF($G703 - (E703 * 6) &lt; 0, D703, ($G703 - (E703 * 6)) * $D$8 / 12),2),0) ) )</f>
        <v>0</v>
      </c>
      <c r="E704" s="231" t="n">
        <f aca="false">IF(ISERROR(A704), 0,  MAX(0,   MIN(    ROUND(G703 + D704, 2),    ROUND(FV($S$5, IF(type=1, A704, A703), , IF(J704&lt;&gt;1, -$D$20, -$P$16 + P704), 2), 0)   )  ) )</f>
        <v>0</v>
      </c>
      <c r="F704" s="231" t="n">
        <f aca="false">IF(J704&lt;&gt;1, "", IF(J703&lt;&gt;0, F703, $K$12))</f>
        <v>1</v>
      </c>
      <c r="G704" s="232" t="str">
        <f aca="false">IF(ISERROR(A704),"",ROUND(G703-E704+D704,2))</f>
        <v/>
      </c>
      <c r="H704" s="237" t="str">
        <f aca="false">IF(G704&gt;0,IFERROR(H703+(H703*($D$16/12)),""),"")</f>
        <v/>
      </c>
      <c r="I704" s="223" t="str">
        <f aca="false">IF(ISERROR(A705),"",12 - MONTH(B704))</f>
        <v/>
      </c>
      <c r="J704" s="224" t="n">
        <f aca="false">K704</f>
        <v>1</v>
      </c>
      <c r="K704" s="225" t="n">
        <f aca="false">_xlfn.IFNA(IF(B704&gt;=$K$11, 1,0),0)</f>
        <v>1</v>
      </c>
      <c r="L704" s="60" t="str">
        <f aca="false">IF(I704=0,1,"")</f>
        <v/>
      </c>
      <c r="P704" s="4"/>
      <c r="V704" s="71"/>
    </row>
    <row r="705" customFormat="false" ht="12.75" hidden="false" customHeight="true" outlineLevel="0" collapsed="false">
      <c r="A705" s="228" t="e">
        <f aca="false">IF(OR(G704="",G704&lt;=0,C704&gt;150),NA(),A704+1)</f>
        <v>#N/A</v>
      </c>
      <c r="B705" s="229" t="str">
        <f aca="false">IF(ISERROR(A705),"",IF($D$9="Annually",EDATE(B704,12),EDATE(B704,1)))</f>
        <v/>
      </c>
      <c r="C705" s="230" t="str">
        <f aca="false">IF(ISERROR(A705),"",C704+IF($D$9="Monthly",1/12,1))</f>
        <v/>
      </c>
      <c r="D705" s="231" t="n">
        <f aca="false">IF(L704&lt;&gt;1, IF(G704&lt;E704,0,D704),IF(L704=1,IFERROR(ROUND(IF($G704 - (E704 * 6) &lt; 0, D704, ($G704 - (E704 * 6)) * $D$8 / 12),2),0) ) )</f>
        <v>0</v>
      </c>
      <c r="E705" s="231" t="n">
        <f aca="false">IF(ISERROR(A705), 0,  MAX(0,   MIN(    ROUND(G704 + D705, 2),    ROUND(FV($S$5, IF(type=1, A705, A704), , IF(J705&lt;&gt;1, -$D$20, -$P$16 + P705), 2), 0)   )  ) )</f>
        <v>0</v>
      </c>
      <c r="F705" s="231" t="n">
        <f aca="false">IF(J705&lt;&gt;1, "", IF(J704&lt;&gt;0, F704, $K$12))</f>
        <v>1</v>
      </c>
      <c r="G705" s="232" t="str">
        <f aca="false">IF(ISERROR(A705),"",ROUND(G704-E705+D705,2))</f>
        <v/>
      </c>
      <c r="H705" s="237" t="str">
        <f aca="false">IF(G705&gt;0,IFERROR(H704+(H704*($D$16/12)),""),"")</f>
        <v/>
      </c>
      <c r="I705" s="223" t="str">
        <f aca="false">IF(ISERROR(A706),"",12 - MONTH(B705))</f>
        <v/>
      </c>
      <c r="J705" s="224" t="n">
        <f aca="false">K705</f>
        <v>1</v>
      </c>
      <c r="K705" s="225" t="n">
        <f aca="false">_xlfn.IFNA(IF(B705&gt;=$K$11, 1,0),0)</f>
        <v>1</v>
      </c>
      <c r="L705" s="60" t="str">
        <f aca="false">IF(I705=0,1,"")</f>
        <v/>
      </c>
      <c r="P705" s="4"/>
      <c r="V705" s="71"/>
    </row>
    <row r="706" customFormat="false" ht="12.75" hidden="false" customHeight="true" outlineLevel="0" collapsed="false">
      <c r="A706" s="228" t="e">
        <f aca="false">IF(OR(G705="",G705&lt;=0,C705&gt;150),NA(),A705+1)</f>
        <v>#N/A</v>
      </c>
      <c r="B706" s="229" t="str">
        <f aca="false">IF(ISERROR(A706),"",IF($D$9="Annually",EDATE(B705,12),EDATE(B705,1)))</f>
        <v/>
      </c>
      <c r="C706" s="230" t="str">
        <f aca="false">IF(ISERROR(A706),"",C705+IF($D$9="Monthly",1/12,1))</f>
        <v/>
      </c>
      <c r="D706" s="231" t="n">
        <f aca="false">IF(L705&lt;&gt;1, IF(G705&lt;E705,0,D705),IF(L705=1,IFERROR(ROUND(IF($G705 - (E705 * 6) &lt; 0, D705, ($G705 - (E705 * 6)) * $D$8 / 12),2),0) ) )</f>
        <v>0</v>
      </c>
      <c r="E706" s="231" t="n">
        <f aca="false">IF(ISERROR(A706), 0,  MAX(0,   MIN(    ROUND(G705 + D706, 2),    ROUND(FV($S$5, IF(type=1, A706, A705), , IF(J706&lt;&gt;1, -$D$20, -$P$16 + P706), 2), 0)   )  ) )</f>
        <v>0</v>
      </c>
      <c r="F706" s="231" t="n">
        <f aca="false">IF(J706&lt;&gt;1, "", IF(J705&lt;&gt;0, F705, $K$12))</f>
        <v>1</v>
      </c>
      <c r="G706" s="232" t="str">
        <f aca="false">IF(ISERROR(A706),"",ROUND(G705-E706+D706,2))</f>
        <v/>
      </c>
      <c r="H706" s="237" t="str">
        <f aca="false">IF(G706&gt;0,IFERROR(H705+(H705*($D$16/12)),""),"")</f>
        <v/>
      </c>
      <c r="I706" s="223" t="str">
        <f aca="false">IF(ISERROR(A707),"",12 - MONTH(B706))</f>
        <v/>
      </c>
      <c r="J706" s="224" t="n">
        <f aca="false">K706</f>
        <v>1</v>
      </c>
      <c r="K706" s="225" t="n">
        <f aca="false">_xlfn.IFNA(IF(B706&gt;=$K$11, 1,0),0)</f>
        <v>1</v>
      </c>
      <c r="L706" s="60" t="str">
        <f aca="false">IF(I706=0,1,"")</f>
        <v/>
      </c>
      <c r="P706" s="4"/>
      <c r="V706" s="71"/>
    </row>
    <row r="707" customFormat="false" ht="12.75" hidden="false" customHeight="true" outlineLevel="0" collapsed="false">
      <c r="A707" s="228" t="e">
        <f aca="false">IF(OR(G706="",G706&lt;=0,C706&gt;150),NA(),A706+1)</f>
        <v>#N/A</v>
      </c>
      <c r="B707" s="229" t="str">
        <f aca="false">IF(ISERROR(A707),"",IF($D$9="Annually",EDATE(B706,12),EDATE(B706,1)))</f>
        <v/>
      </c>
      <c r="C707" s="230" t="str">
        <f aca="false">IF(ISERROR(A707),"",C706+IF($D$9="Monthly",1/12,1))</f>
        <v/>
      </c>
      <c r="D707" s="231" t="n">
        <f aca="false">IF(L706&lt;&gt;1, IF(G706&lt;E706,0,D706),IF(L706=1,IFERROR(ROUND(IF($G706 - (E706 * 6) &lt; 0, D706, ($G706 - (E706 * 6)) * $D$8 / 12),2),0) ) )</f>
        <v>0</v>
      </c>
      <c r="E707" s="231" t="n">
        <f aca="false">IF(ISERROR(A707), 0,  MAX(0,   MIN(    ROUND(G706 + D707, 2),    ROUND(FV($S$5, IF(type=1, A707, A706), , IF(J707&lt;&gt;1, -$D$20, -$P$16 + P707), 2), 0)   )  ) )</f>
        <v>0</v>
      </c>
      <c r="F707" s="231" t="n">
        <f aca="false">IF(J707&lt;&gt;1, "", IF(J706&lt;&gt;0, F706, $K$12))</f>
        <v>1</v>
      </c>
      <c r="G707" s="232" t="str">
        <f aca="false">IF(ISERROR(A707),"",ROUND(G706-E707+D707,2))</f>
        <v/>
      </c>
      <c r="H707" s="237" t="str">
        <f aca="false">IF(G707&gt;0,IFERROR(H706+(H706*($D$16/12)),""),"")</f>
        <v/>
      </c>
      <c r="I707" s="223" t="str">
        <f aca="false">IF(ISERROR(A708),"",12 - MONTH(B707))</f>
        <v/>
      </c>
      <c r="J707" s="224" t="n">
        <f aca="false">K707</f>
        <v>1</v>
      </c>
      <c r="K707" s="225" t="n">
        <f aca="false">_xlfn.IFNA(IF(B707&gt;=$K$11, 1,0),0)</f>
        <v>1</v>
      </c>
      <c r="L707" s="60" t="str">
        <f aca="false">IF(I707=0,1,"")</f>
        <v/>
      </c>
      <c r="P707" s="4"/>
      <c r="V707" s="71"/>
    </row>
    <row r="708" customFormat="false" ht="12.75" hidden="false" customHeight="true" outlineLevel="0" collapsed="false">
      <c r="A708" s="228" t="e">
        <f aca="false">IF(OR(G707="",G707&lt;=0,C707&gt;150),NA(),A707+1)</f>
        <v>#N/A</v>
      </c>
      <c r="B708" s="229" t="str">
        <f aca="false">IF(ISERROR(A708),"",IF($D$9="Annually",EDATE(B707,12),EDATE(B707,1)))</f>
        <v/>
      </c>
      <c r="C708" s="230" t="str">
        <f aca="false">IF(ISERROR(A708),"",C707+IF($D$9="Monthly",1/12,1))</f>
        <v/>
      </c>
      <c r="D708" s="231" t="n">
        <f aca="false">IF(L707&lt;&gt;1, IF(G707&lt;E707,0,D707),IF(L707=1,IFERROR(ROUND(IF($G707 - (E707 * 6) &lt; 0, D707, ($G707 - (E707 * 6)) * $D$8 / 12),2),0) ) )</f>
        <v>0</v>
      </c>
      <c r="E708" s="231" t="n">
        <f aca="false">IF(ISERROR(A708), 0,  MAX(0,   MIN(    ROUND(G707 + D708, 2),    ROUND(FV($S$5, IF(type=1, A708, A707), , IF(J708&lt;&gt;1, -$D$20, -$P$16 + P708), 2), 0)   )  ) )</f>
        <v>0</v>
      </c>
      <c r="F708" s="231" t="n">
        <f aca="false">IF(J708&lt;&gt;1, "", IF(J707&lt;&gt;0, F707, $K$12))</f>
        <v>1</v>
      </c>
      <c r="G708" s="232" t="str">
        <f aca="false">IF(ISERROR(A708),"",ROUND(G707-E708+D708,2))</f>
        <v/>
      </c>
      <c r="H708" s="237" t="str">
        <f aca="false">IF(G708&gt;0,IFERROR(H707+(H707*($D$16/12)),""),"")</f>
        <v/>
      </c>
      <c r="I708" s="223" t="str">
        <f aca="false">IF(ISERROR(A709),"",12 - MONTH(B708))</f>
        <v/>
      </c>
      <c r="J708" s="224" t="n">
        <f aca="false">K708</f>
        <v>1</v>
      </c>
      <c r="K708" s="225" t="n">
        <f aca="false">_xlfn.IFNA(IF(B708&gt;=$K$11, 1,0),0)</f>
        <v>1</v>
      </c>
      <c r="L708" s="60" t="str">
        <f aca="false">IF(I708=0,1,"")</f>
        <v/>
      </c>
      <c r="P708" s="4"/>
      <c r="V708" s="71"/>
    </row>
    <row r="709" customFormat="false" ht="12.75" hidden="false" customHeight="true" outlineLevel="0" collapsed="false">
      <c r="A709" s="228" t="e">
        <f aca="false">IF(OR(G708="",G708&lt;=0,C708&gt;150),NA(),A708+1)</f>
        <v>#N/A</v>
      </c>
      <c r="B709" s="229" t="str">
        <f aca="false">IF(ISERROR(A709),"",IF($D$9="Annually",EDATE(B708,12),EDATE(B708,1)))</f>
        <v/>
      </c>
      <c r="C709" s="230" t="str">
        <f aca="false">IF(ISERROR(A709),"",C708+IF($D$9="Monthly",1/12,1))</f>
        <v/>
      </c>
      <c r="D709" s="231" t="n">
        <f aca="false">IF(L708&lt;&gt;1, IF(G708&lt;E708,0,D708),IF(L708=1,IFERROR(ROUND(IF($G708 - (E708 * 6) &lt; 0, D708, ($G708 - (E708 * 6)) * $D$8 / 12),2),0) ) )</f>
        <v>0</v>
      </c>
      <c r="E709" s="231" t="n">
        <f aca="false">IF(ISERROR(A709), 0,  MAX(0,   MIN(    ROUND(G708 + D709, 2),    ROUND(FV($S$5, IF(type=1, A709, A708), , IF(J709&lt;&gt;1, -$D$20, -$P$16 + P709), 2), 0)   )  ) )</f>
        <v>0</v>
      </c>
      <c r="F709" s="231" t="n">
        <f aca="false">IF(J709&lt;&gt;1, "", IF(J708&lt;&gt;0, F708, $K$12))</f>
        <v>1</v>
      </c>
      <c r="G709" s="232" t="str">
        <f aca="false">IF(ISERROR(A709),"",ROUND(G708-E709+D709,2))</f>
        <v/>
      </c>
      <c r="H709" s="237" t="str">
        <f aca="false">IF(G709&gt;0,IFERROR(H708+(H708*($D$16/12)),""),"")</f>
        <v/>
      </c>
      <c r="I709" s="223" t="str">
        <f aca="false">IF(ISERROR(A710),"",12 - MONTH(B709))</f>
        <v/>
      </c>
      <c r="J709" s="224" t="n">
        <f aca="false">K709</f>
        <v>1</v>
      </c>
      <c r="K709" s="225" t="n">
        <f aca="false">_xlfn.IFNA(IF(B709&gt;=$K$11, 1,0),0)</f>
        <v>1</v>
      </c>
      <c r="L709" s="60" t="str">
        <f aca="false">IF(I709=0,1,"")</f>
        <v/>
      </c>
      <c r="P709" s="4"/>
      <c r="V709" s="71"/>
    </row>
    <row r="710" customFormat="false" ht="12.75" hidden="false" customHeight="true" outlineLevel="0" collapsed="false">
      <c r="A710" s="228" t="e">
        <f aca="false">IF(OR(G709="",G709&lt;=0,C709&gt;150),NA(),A709+1)</f>
        <v>#N/A</v>
      </c>
      <c r="B710" s="229" t="str">
        <f aca="false">IF(ISERROR(A710),"",IF($D$9="Annually",EDATE(B709,12),EDATE(B709,1)))</f>
        <v/>
      </c>
      <c r="C710" s="230" t="str">
        <f aca="false">IF(ISERROR(A710),"",C709+IF($D$9="Monthly",1/12,1))</f>
        <v/>
      </c>
      <c r="D710" s="231" t="n">
        <f aca="false">IF(L709&lt;&gt;1, IF(G709&lt;E709,0,D709),IF(L709=1,IFERROR(ROUND(IF($G709 - (E709 * 6) &lt; 0, D709, ($G709 - (E709 * 6)) * $D$8 / 12),2),0) ) )</f>
        <v>0</v>
      </c>
      <c r="E710" s="231" t="n">
        <f aca="false">IF(ISERROR(A710), 0,  MAX(0,   MIN(    ROUND(G709 + D710, 2),    ROUND(FV($S$5, IF(type=1, A710, A709), , IF(J710&lt;&gt;1, -$D$20, -$P$16 + P710), 2), 0)   )  ) )</f>
        <v>0</v>
      </c>
      <c r="F710" s="231" t="n">
        <f aca="false">IF(J710&lt;&gt;1, "", IF(J709&lt;&gt;0, F709, $K$12))</f>
        <v>1</v>
      </c>
      <c r="G710" s="232" t="str">
        <f aca="false">IF(ISERROR(A710),"",ROUND(G709-E710+D710,2))</f>
        <v/>
      </c>
      <c r="H710" s="237" t="str">
        <f aca="false">IF(G710&gt;0,IFERROR(H709+(H709*($D$16/12)),""),"")</f>
        <v/>
      </c>
      <c r="I710" s="223" t="str">
        <f aca="false">IF(ISERROR(A711),"",12 - MONTH(B710))</f>
        <v/>
      </c>
      <c r="J710" s="224" t="n">
        <f aca="false">K710</f>
        <v>1</v>
      </c>
      <c r="K710" s="225" t="n">
        <f aca="false">_xlfn.IFNA(IF(B710&gt;=$K$11, 1,0),0)</f>
        <v>1</v>
      </c>
      <c r="L710" s="60" t="str">
        <f aca="false">IF(I710=0,1,"")</f>
        <v/>
      </c>
      <c r="P710" s="4"/>
      <c r="V710" s="71"/>
    </row>
    <row r="711" customFormat="false" ht="12.75" hidden="false" customHeight="true" outlineLevel="0" collapsed="false">
      <c r="A711" s="228" t="e">
        <f aca="false">IF(OR(G710="",G710&lt;=0,C710&gt;150),NA(),A710+1)</f>
        <v>#N/A</v>
      </c>
      <c r="B711" s="229" t="str">
        <f aca="false">IF(ISERROR(A711),"",IF($D$9="Annually",EDATE(B710,12),EDATE(B710,1)))</f>
        <v/>
      </c>
      <c r="C711" s="230" t="str">
        <f aca="false">IF(ISERROR(A711),"",C710+IF($D$9="Monthly",1/12,1))</f>
        <v/>
      </c>
      <c r="D711" s="231" t="n">
        <f aca="false">IF(L710&lt;&gt;1, IF(G710&lt;E710,0,D710),IF(L710=1,IFERROR(ROUND(IF($G710 - (E710 * 6) &lt; 0, D710, ($G710 - (E710 * 6)) * $D$8 / 12),2),0) ) )</f>
        <v>0</v>
      </c>
      <c r="E711" s="231" t="n">
        <f aca="false">IF(ISERROR(A711), 0,  MAX(0,   MIN(    ROUND(G710 + D711, 2),    ROUND(FV($S$5, IF(type=1, A711, A710), , IF(J711&lt;&gt;1, -$D$20, -$P$16 + P711), 2), 0)   )  ) )</f>
        <v>0</v>
      </c>
      <c r="F711" s="231" t="n">
        <f aca="false">IF(J711&lt;&gt;1, "", IF(J710&lt;&gt;0, F710, $K$12))</f>
        <v>1</v>
      </c>
      <c r="G711" s="232" t="str">
        <f aca="false">IF(ISERROR(A711),"",ROUND(G710-E711+D711,2))</f>
        <v/>
      </c>
      <c r="H711" s="237" t="str">
        <f aca="false">IF(G711&gt;0,IFERROR(H710+(H710*($D$16/12)),""),"")</f>
        <v/>
      </c>
      <c r="I711" s="223" t="str">
        <f aca="false">IF(ISERROR(A712),"",12 - MONTH(B711))</f>
        <v/>
      </c>
      <c r="J711" s="224" t="n">
        <f aca="false">K711</f>
        <v>1</v>
      </c>
      <c r="K711" s="225" t="n">
        <f aca="false">_xlfn.IFNA(IF(B711&gt;=$K$11, 1,0),0)</f>
        <v>1</v>
      </c>
      <c r="L711" s="60" t="str">
        <f aca="false">IF(I711=0,1,"")</f>
        <v/>
      </c>
      <c r="P711" s="4"/>
      <c r="V711" s="71"/>
    </row>
    <row r="712" customFormat="false" ht="12.75" hidden="false" customHeight="true" outlineLevel="0" collapsed="false">
      <c r="A712" s="228" t="e">
        <f aca="false">IF(OR(G711="",G711&lt;=0,C711&gt;150),NA(),A711+1)</f>
        <v>#N/A</v>
      </c>
      <c r="B712" s="229" t="str">
        <f aca="false">IF(ISERROR(A712),"",IF($D$9="Annually",EDATE(B711,12),EDATE(B711,1)))</f>
        <v/>
      </c>
      <c r="C712" s="230" t="str">
        <f aca="false">IF(ISERROR(A712),"",C711+IF($D$9="Monthly",1/12,1))</f>
        <v/>
      </c>
      <c r="D712" s="231" t="n">
        <f aca="false">IF(L711&lt;&gt;1, IF(G711&lt;E711,0,D711),IF(L711=1,IFERROR(ROUND(IF($G711 - (E711 * 6) &lt; 0, D711, ($G711 - (E711 * 6)) * $D$8 / 12),2),0) ) )</f>
        <v>0</v>
      </c>
      <c r="E712" s="231" t="n">
        <f aca="false">IF(ISERROR(A712), 0,  MAX(0,   MIN(    ROUND(G711 + D712, 2),    ROUND(FV($S$5, IF(type=1, A712, A711), , IF(J712&lt;&gt;1, -$D$20, -$P$16 + P712), 2), 0)   )  ) )</f>
        <v>0</v>
      </c>
      <c r="F712" s="231" t="n">
        <f aca="false">IF(J712&lt;&gt;1, "", IF(J711&lt;&gt;0, F711, $K$12))</f>
        <v>1</v>
      </c>
      <c r="G712" s="232" t="str">
        <f aca="false">IF(ISERROR(A712),"",ROUND(G711-E712+D712,2))</f>
        <v/>
      </c>
      <c r="H712" s="237" t="str">
        <f aca="false">IF(G712&gt;0,IFERROR(H711+(H711*($D$16/12)),""),"")</f>
        <v/>
      </c>
      <c r="I712" s="223" t="str">
        <f aca="false">IF(ISERROR(A713),"",12 - MONTH(B712))</f>
        <v/>
      </c>
      <c r="J712" s="224" t="n">
        <f aca="false">K712</f>
        <v>1</v>
      </c>
      <c r="K712" s="225" t="n">
        <f aca="false">_xlfn.IFNA(IF(B712&gt;=$K$11, 1,0),0)</f>
        <v>1</v>
      </c>
      <c r="L712" s="60" t="str">
        <f aca="false">IF(I712=0,1,"")</f>
        <v/>
      </c>
      <c r="P712" s="4"/>
      <c r="V712" s="71"/>
    </row>
    <row r="713" customFormat="false" ht="12.75" hidden="false" customHeight="true" outlineLevel="0" collapsed="false">
      <c r="A713" s="228" t="e">
        <f aca="false">IF(OR(G712="",G712&lt;=0,C712&gt;150),NA(),A712+1)</f>
        <v>#N/A</v>
      </c>
      <c r="B713" s="229" t="str">
        <f aca="false">IF(ISERROR(A713),"",IF($D$9="Annually",EDATE(B712,12),EDATE(B712,1)))</f>
        <v/>
      </c>
      <c r="C713" s="230" t="str">
        <f aca="false">IF(ISERROR(A713),"",C712+IF($D$9="Monthly",1/12,1))</f>
        <v/>
      </c>
      <c r="D713" s="231" t="n">
        <f aca="false">IF(L712&lt;&gt;1, IF(G712&lt;E712,0,D712),IF(L712=1,IFERROR(ROUND(IF($G712 - (E712 * 6) &lt; 0, D712, ($G712 - (E712 * 6)) * $D$8 / 12),2),0) ) )</f>
        <v>0</v>
      </c>
      <c r="E713" s="231" t="n">
        <f aca="false">IF(ISERROR(A713), 0,  MAX(0,   MIN(    ROUND(G712 + D713, 2),    ROUND(FV($S$5, IF(type=1, A713, A712), , IF(J713&lt;&gt;1, -$D$20, -$P$16 + P713), 2), 0)   )  ) )</f>
        <v>0</v>
      </c>
      <c r="F713" s="231" t="n">
        <f aca="false">IF(J713&lt;&gt;1, "", IF(J712&lt;&gt;0, F712, $K$12))</f>
        <v>1</v>
      </c>
      <c r="G713" s="232" t="str">
        <f aca="false">IF(ISERROR(A713),"",ROUND(G712-E713+D713,2))</f>
        <v/>
      </c>
      <c r="H713" s="237" t="str">
        <f aca="false">IF(G713&gt;0,IFERROR(H712+(H712*($D$16/12)),""),"")</f>
        <v/>
      </c>
      <c r="I713" s="223" t="str">
        <f aca="false">IF(ISERROR(A714),"",12 - MONTH(B713))</f>
        <v/>
      </c>
      <c r="J713" s="224" t="n">
        <f aca="false">K713</f>
        <v>1</v>
      </c>
      <c r="K713" s="225" t="n">
        <f aca="false">_xlfn.IFNA(IF(B713&gt;=$K$11, 1,0),0)</f>
        <v>1</v>
      </c>
      <c r="L713" s="60" t="str">
        <f aca="false">IF(I713=0,1,"")</f>
        <v/>
      </c>
      <c r="P713" s="4"/>
      <c r="V713" s="71"/>
    </row>
    <row r="714" customFormat="false" ht="12.75" hidden="false" customHeight="true" outlineLevel="0" collapsed="false">
      <c r="A714" s="228" t="e">
        <f aca="false">IF(OR(G713="",G713&lt;=0,C713&gt;150),NA(),A713+1)</f>
        <v>#N/A</v>
      </c>
      <c r="B714" s="229" t="str">
        <f aca="false">IF(ISERROR(A714),"",IF($D$9="Annually",EDATE(B713,12),EDATE(B713,1)))</f>
        <v/>
      </c>
      <c r="C714" s="230" t="str">
        <f aca="false">IF(ISERROR(A714),"",C713+IF($D$9="Monthly",1/12,1))</f>
        <v/>
      </c>
      <c r="D714" s="231" t="n">
        <f aca="false">IF(L713&lt;&gt;1, IF(G713&lt;E713,0,D713),IF(L713=1,IFERROR(ROUND(IF($G713 - (E713 * 6) &lt; 0, D713, ($G713 - (E713 * 6)) * $D$8 / 12),2),0) ) )</f>
        <v>0</v>
      </c>
      <c r="E714" s="231" t="n">
        <f aca="false">IF(ISERROR(A714), 0,  MAX(0,   MIN(    ROUND(G713 + D714, 2),    ROUND(FV($S$5, IF(type=1, A714, A713), , IF(J714&lt;&gt;1, -$D$20, -$P$16 + P714), 2), 0)   )  ) )</f>
        <v>0</v>
      </c>
      <c r="F714" s="231" t="n">
        <f aca="false">IF(J714&lt;&gt;1, "", IF(J713&lt;&gt;0, F713, $K$12))</f>
        <v>1</v>
      </c>
      <c r="G714" s="232" t="str">
        <f aca="false">IF(ISERROR(A714),"",ROUND(G713-E714+D714,2))</f>
        <v/>
      </c>
      <c r="H714" s="237" t="str">
        <f aca="false">IF(G714&gt;0,IFERROR(H713+(H713*($D$16/12)),""),"")</f>
        <v/>
      </c>
      <c r="I714" s="223" t="str">
        <f aca="false">IF(ISERROR(A715),"",12 - MONTH(B714))</f>
        <v/>
      </c>
      <c r="J714" s="224" t="n">
        <f aca="false">K714</f>
        <v>1</v>
      </c>
      <c r="K714" s="225" t="n">
        <f aca="false">_xlfn.IFNA(IF(B714&gt;=$K$11, 1,0),0)</f>
        <v>1</v>
      </c>
      <c r="L714" s="60" t="str">
        <f aca="false">IF(I714=0,1,"")</f>
        <v/>
      </c>
      <c r="P714" s="4"/>
      <c r="V714" s="71"/>
    </row>
    <row r="715" customFormat="false" ht="12.75" hidden="false" customHeight="true" outlineLevel="0" collapsed="false">
      <c r="A715" s="228" t="e">
        <f aca="false">IF(OR(G714="",G714&lt;=0,C714&gt;150),NA(),A714+1)</f>
        <v>#N/A</v>
      </c>
      <c r="B715" s="229" t="str">
        <f aca="false">IF(ISERROR(A715),"",IF($D$9="Annually",EDATE(B714,12),EDATE(B714,1)))</f>
        <v/>
      </c>
      <c r="C715" s="230" t="str">
        <f aca="false">IF(ISERROR(A715),"",C714+IF($D$9="Monthly",1/12,1))</f>
        <v/>
      </c>
      <c r="D715" s="231" t="n">
        <f aca="false">IF(L714&lt;&gt;1, IF(G714&lt;E714,0,D714),IF(L714=1,IFERROR(ROUND(IF($G714 - (E714 * 6) &lt; 0, D714, ($G714 - (E714 * 6)) * $D$8 / 12),2),0) ) )</f>
        <v>0</v>
      </c>
      <c r="E715" s="231" t="n">
        <f aca="false">IF(ISERROR(A715), 0,  MAX(0,   MIN(    ROUND(G714 + D715, 2),    ROUND(FV($S$5, IF(type=1, A715, A714), , IF(J715&lt;&gt;1, -$D$20, -$P$16 + P715), 2), 0)   )  ) )</f>
        <v>0</v>
      </c>
      <c r="F715" s="231" t="n">
        <f aca="false">IF(J715&lt;&gt;1, "", IF(J714&lt;&gt;0, F714, $K$12))</f>
        <v>1</v>
      </c>
      <c r="G715" s="232" t="str">
        <f aca="false">IF(ISERROR(A715),"",ROUND(G714-E715+D715,2))</f>
        <v/>
      </c>
      <c r="H715" s="237" t="str">
        <f aca="false">IF(G715&gt;0,IFERROR(H714+(H714*($D$16/12)),""),"")</f>
        <v/>
      </c>
      <c r="I715" s="223" t="str">
        <f aca="false">IF(ISERROR(A716),"",12 - MONTH(B715))</f>
        <v/>
      </c>
      <c r="J715" s="224" t="n">
        <f aca="false">K715</f>
        <v>1</v>
      </c>
      <c r="K715" s="225" t="n">
        <f aca="false">_xlfn.IFNA(IF(B715&gt;=$K$11, 1,0),0)</f>
        <v>1</v>
      </c>
      <c r="L715" s="60" t="str">
        <f aca="false">IF(I715=0,1,"")</f>
        <v/>
      </c>
      <c r="P715" s="4"/>
      <c r="V715" s="71"/>
    </row>
    <row r="716" customFormat="false" ht="12.75" hidden="false" customHeight="true" outlineLevel="0" collapsed="false">
      <c r="A716" s="228" t="e">
        <f aca="false">IF(OR(G715="",G715&lt;=0,C715&gt;150),NA(),A715+1)</f>
        <v>#N/A</v>
      </c>
      <c r="B716" s="229" t="str">
        <f aca="false">IF(ISERROR(A716),"",IF($D$9="Annually",EDATE(B715,12),EDATE(B715,1)))</f>
        <v/>
      </c>
      <c r="C716" s="230" t="str">
        <f aca="false">IF(ISERROR(A716),"",C715+IF($D$9="Monthly",1/12,1))</f>
        <v/>
      </c>
      <c r="D716" s="231" t="n">
        <f aca="false">IF(L715&lt;&gt;1, IF(G715&lt;E715,0,D715),IF(L715=1,IFERROR(ROUND(IF($G715 - (E715 * 6) &lt; 0, D715, ($G715 - (E715 * 6)) * $D$8 / 12),2),0) ) )</f>
        <v>0</v>
      </c>
      <c r="E716" s="231" t="n">
        <f aca="false">IF(ISERROR(A716), 0,  MAX(0,   MIN(    ROUND(G715 + D716, 2),    ROUND(FV($S$5, IF(type=1, A716, A715), , IF(J716&lt;&gt;1, -$D$20, -$P$16 + P716), 2), 0)   )  ) )</f>
        <v>0</v>
      </c>
      <c r="F716" s="231" t="n">
        <f aca="false">IF(J716&lt;&gt;1, "", IF(J715&lt;&gt;0, F715, $K$12))</f>
        <v>1</v>
      </c>
      <c r="G716" s="232" t="str">
        <f aca="false">IF(ISERROR(A716),"",ROUND(G715-E716+D716,2))</f>
        <v/>
      </c>
      <c r="H716" s="237" t="str">
        <f aca="false">IF(G716&gt;0,IFERROR(H715+(H715*($D$16/12)),""),"")</f>
        <v/>
      </c>
      <c r="I716" s="223" t="str">
        <f aca="false">IF(ISERROR(A717),"",12 - MONTH(B716))</f>
        <v/>
      </c>
      <c r="J716" s="224" t="n">
        <f aca="false">K716</f>
        <v>1</v>
      </c>
      <c r="K716" s="225" t="n">
        <f aca="false">_xlfn.IFNA(IF(B716&gt;=$K$11, 1,0),0)</f>
        <v>1</v>
      </c>
      <c r="L716" s="60" t="str">
        <f aca="false">IF(I716=0,1,"")</f>
        <v/>
      </c>
      <c r="P716" s="4"/>
      <c r="V716" s="71"/>
    </row>
    <row r="717" customFormat="false" ht="12.75" hidden="false" customHeight="true" outlineLevel="0" collapsed="false">
      <c r="A717" s="228" t="e">
        <f aca="false">IF(OR(G716="",G716&lt;=0,C716&gt;150),NA(),A716+1)</f>
        <v>#N/A</v>
      </c>
      <c r="B717" s="229" t="str">
        <f aca="false">IF(ISERROR(A717),"",IF($D$9="Annually",EDATE(B716,12),EDATE(B716,1)))</f>
        <v/>
      </c>
      <c r="C717" s="230" t="str">
        <f aca="false">IF(ISERROR(A717),"",C716+IF($D$9="Monthly",1/12,1))</f>
        <v/>
      </c>
      <c r="D717" s="231" t="n">
        <f aca="false">IF(L716&lt;&gt;1, IF(G716&lt;E716,0,D716),IF(L716=1,IFERROR(ROUND(IF($G716 - (E716 * 6) &lt; 0, D716, ($G716 - (E716 * 6)) * $D$8 / 12),2),0) ) )</f>
        <v>0</v>
      </c>
      <c r="E717" s="231" t="n">
        <f aca="false">IF(ISERROR(A717), 0,  MAX(0,   MIN(    ROUND(G716 + D717, 2),    ROUND(FV($S$5, IF(type=1, A717, A716), , IF(J717&lt;&gt;1, -$D$20, -$P$16 + P717), 2), 0)   )  ) )</f>
        <v>0</v>
      </c>
      <c r="F717" s="231" t="n">
        <f aca="false">IF(J717&lt;&gt;1, "", IF(J716&lt;&gt;0, F716, $K$12))</f>
        <v>1</v>
      </c>
      <c r="G717" s="232" t="str">
        <f aca="false">IF(ISERROR(A717),"",ROUND(G716-E717+D717,2))</f>
        <v/>
      </c>
      <c r="H717" s="237" t="str">
        <f aca="false">IF(G717&gt;0,IFERROR(H716+(H716*($D$16/12)),""),"")</f>
        <v/>
      </c>
      <c r="I717" s="223" t="str">
        <f aca="false">IF(ISERROR(A718),"",12 - MONTH(B717))</f>
        <v/>
      </c>
      <c r="J717" s="224" t="n">
        <f aca="false">K717</f>
        <v>1</v>
      </c>
      <c r="K717" s="225" t="n">
        <f aca="false">_xlfn.IFNA(IF(B717&gt;=$K$11, 1,0),0)</f>
        <v>1</v>
      </c>
      <c r="L717" s="60" t="str">
        <f aca="false">IF(I717=0,1,"")</f>
        <v/>
      </c>
      <c r="P717" s="4"/>
      <c r="V717" s="71"/>
    </row>
    <row r="718" customFormat="false" ht="12.75" hidden="false" customHeight="true" outlineLevel="0" collapsed="false">
      <c r="A718" s="228" t="e">
        <f aca="false">IF(OR(G717="",G717&lt;=0,C717&gt;150),NA(),A717+1)</f>
        <v>#N/A</v>
      </c>
      <c r="B718" s="229" t="str">
        <f aca="false">IF(ISERROR(A718),"",IF($D$9="Annually",EDATE(B717,12),EDATE(B717,1)))</f>
        <v/>
      </c>
      <c r="C718" s="230" t="str">
        <f aca="false">IF(ISERROR(A718),"",C717+IF($D$9="Monthly",1/12,1))</f>
        <v/>
      </c>
      <c r="D718" s="231" t="n">
        <f aca="false">IF(L717&lt;&gt;1, IF(G717&lt;E717,0,D717),IF(L717=1,IFERROR(ROUND(IF($G717 - (E717 * 6) &lt; 0, D717, ($G717 - (E717 * 6)) * $D$8 / 12),2),0) ) )</f>
        <v>0</v>
      </c>
      <c r="E718" s="231" t="n">
        <f aca="false">IF(ISERROR(A718), 0,  MAX(0,   MIN(    ROUND(G717 + D718, 2),    ROUND(FV($S$5, IF(type=1, A718, A717), , IF(J718&lt;&gt;1, -$D$20, -$P$16 + P718), 2), 0)   )  ) )</f>
        <v>0</v>
      </c>
      <c r="F718" s="231" t="n">
        <f aca="false">IF(J718&lt;&gt;1, "", IF(J717&lt;&gt;0, F717, $K$12))</f>
        <v>1</v>
      </c>
      <c r="G718" s="232" t="str">
        <f aca="false">IF(ISERROR(A718),"",ROUND(G717-E718+D718,2))</f>
        <v/>
      </c>
      <c r="H718" s="237" t="str">
        <f aca="false">IF(G718&gt;0,IFERROR(H717+(H717*($D$16/12)),""),"")</f>
        <v/>
      </c>
      <c r="I718" s="223" t="str">
        <f aca="false">IF(ISERROR(A719),"",12 - MONTH(B718))</f>
        <v/>
      </c>
      <c r="J718" s="224" t="n">
        <f aca="false">K718</f>
        <v>1</v>
      </c>
      <c r="K718" s="225" t="n">
        <f aca="false">_xlfn.IFNA(IF(B718&gt;=$K$11, 1,0),0)</f>
        <v>1</v>
      </c>
      <c r="L718" s="60" t="str">
        <f aca="false">IF(I718=0,1,"")</f>
        <v/>
      </c>
      <c r="P718" s="4"/>
      <c r="V718" s="71"/>
    </row>
    <row r="719" customFormat="false" ht="12.75" hidden="false" customHeight="true" outlineLevel="0" collapsed="false">
      <c r="A719" s="228" t="e">
        <f aca="false">IF(OR(G718="",G718&lt;=0,C718&gt;150),NA(),A718+1)</f>
        <v>#N/A</v>
      </c>
      <c r="B719" s="229" t="str">
        <f aca="false">IF(ISERROR(A719),"",IF($D$9="Annually",EDATE(B718,12),EDATE(B718,1)))</f>
        <v/>
      </c>
      <c r="C719" s="230" t="str">
        <f aca="false">IF(ISERROR(A719),"",C718+IF($D$9="Monthly",1/12,1))</f>
        <v/>
      </c>
      <c r="D719" s="231" t="n">
        <f aca="false">IF(L718&lt;&gt;1, IF(G718&lt;E718,0,D718),IF(L718=1,IFERROR(ROUND(IF($G718 - (E718 * 6) &lt; 0, D718, ($G718 - (E718 * 6)) * $D$8 / 12),2),0) ) )</f>
        <v>0</v>
      </c>
      <c r="E719" s="231" t="n">
        <f aca="false">IF(ISERROR(A719), 0,  MAX(0,   MIN(    ROUND(G718 + D719, 2),    ROUND(FV($S$5, IF(type=1, A719, A718), , IF(J719&lt;&gt;1, -$D$20, -$P$16 + P719), 2), 0)   )  ) )</f>
        <v>0</v>
      </c>
      <c r="F719" s="231" t="n">
        <f aca="false">IF(J719&lt;&gt;1, "", IF(J718&lt;&gt;0, F718, $K$12))</f>
        <v>1</v>
      </c>
      <c r="G719" s="232" t="str">
        <f aca="false">IF(ISERROR(A719),"",ROUND(G718-E719+D719,2))</f>
        <v/>
      </c>
      <c r="H719" s="237" t="str">
        <f aca="false">IF(G719&gt;0,IFERROR(H718+(H718*($D$16/12)),""),"")</f>
        <v/>
      </c>
      <c r="I719" s="223" t="str">
        <f aca="false">IF(ISERROR(A720),"",12 - MONTH(B719))</f>
        <v/>
      </c>
      <c r="J719" s="224" t="n">
        <f aca="false">K719</f>
        <v>1</v>
      </c>
      <c r="K719" s="225" t="n">
        <f aca="false">_xlfn.IFNA(IF(B719&gt;=$K$11, 1,0),0)</f>
        <v>1</v>
      </c>
      <c r="L719" s="60" t="str">
        <f aca="false">IF(I719=0,1,"")</f>
        <v/>
      </c>
      <c r="P719" s="4"/>
      <c r="V719" s="71"/>
    </row>
    <row r="720" customFormat="false" ht="12.75" hidden="false" customHeight="true" outlineLevel="0" collapsed="false">
      <c r="A720" s="228" t="e">
        <f aca="false">IF(OR(G719="",G719&lt;=0,C719&gt;150),NA(),A719+1)</f>
        <v>#N/A</v>
      </c>
      <c r="B720" s="229" t="str">
        <f aca="false">IF(ISERROR(A720),"",IF($D$9="Annually",EDATE(B719,12),EDATE(B719,1)))</f>
        <v/>
      </c>
      <c r="C720" s="230" t="str">
        <f aca="false">IF(ISERROR(A720),"",C719+IF($D$9="Monthly",1/12,1))</f>
        <v/>
      </c>
      <c r="D720" s="231" t="n">
        <f aca="false">IF(L719&lt;&gt;1, IF(G719&lt;E719,0,D719),IF(L719=1,IFERROR(ROUND(IF($G719 - (E719 * 6) &lt; 0, D719, ($G719 - (E719 * 6)) * $D$8 / 12),2),0) ) )</f>
        <v>0</v>
      </c>
      <c r="E720" s="231" t="n">
        <f aca="false">IF(ISERROR(A720), 0,  MAX(0,   MIN(    ROUND(G719 + D720, 2),    ROUND(FV($S$5, IF(type=1, A720, A719), , IF(J720&lt;&gt;1, -$D$20, -$P$16 + P720), 2), 0)   )  ) )</f>
        <v>0</v>
      </c>
      <c r="F720" s="231" t="n">
        <f aca="false">IF(J720&lt;&gt;1, "", IF(J719&lt;&gt;0, F719, $K$12))</f>
        <v>1</v>
      </c>
      <c r="G720" s="232" t="str">
        <f aca="false">IF(ISERROR(A720),"",ROUND(G719-E720+D720,2))</f>
        <v/>
      </c>
      <c r="H720" s="237" t="str">
        <f aca="false">IF(G720&gt;0,IFERROR(H719+(H719*($D$16/12)),""),"")</f>
        <v/>
      </c>
      <c r="I720" s="223" t="str">
        <f aca="false">IF(ISERROR(A721),"",12 - MONTH(B720))</f>
        <v/>
      </c>
      <c r="J720" s="224" t="n">
        <f aca="false">K720</f>
        <v>1</v>
      </c>
      <c r="K720" s="225" t="n">
        <f aca="false">_xlfn.IFNA(IF(B720&gt;=$K$11, 1,0),0)</f>
        <v>1</v>
      </c>
      <c r="L720" s="60" t="str">
        <f aca="false">IF(I720=0,1,"")</f>
        <v/>
      </c>
      <c r="P720" s="4"/>
      <c r="V720" s="71"/>
    </row>
    <row r="721" customFormat="false" ht="12.75" hidden="false" customHeight="true" outlineLevel="0" collapsed="false">
      <c r="A721" s="228" t="e">
        <f aca="false">IF(OR(G720="",G720&lt;=0,C720&gt;150),NA(),A720+1)</f>
        <v>#N/A</v>
      </c>
      <c r="B721" s="229" t="str">
        <f aca="false">IF(ISERROR(A721),"",IF($D$9="Annually",EDATE(B720,12),EDATE(B720,1)))</f>
        <v/>
      </c>
      <c r="C721" s="230" t="str">
        <f aca="false">IF(ISERROR(A721),"",C720+IF($D$9="Monthly",1/12,1))</f>
        <v/>
      </c>
      <c r="D721" s="231" t="n">
        <f aca="false">IF(L720&lt;&gt;1, IF(G720&lt;E720,0,D720),IF(L720=1,IFERROR(ROUND(IF($G720 - (E720 * 6) &lt; 0, D720, ($G720 - (E720 * 6)) * $D$8 / 12),2),0) ) )</f>
        <v>0</v>
      </c>
      <c r="E721" s="231" t="n">
        <f aca="false">IF(ISERROR(A721), 0,  MAX(0,   MIN(    ROUND(G720 + D721, 2),    ROUND(FV($S$5, IF(type=1, A721, A720), , IF(J721&lt;&gt;1, -$D$20, -$P$16 + P721), 2), 0)   )  ) )</f>
        <v>0</v>
      </c>
      <c r="F721" s="231" t="n">
        <f aca="false">IF(J721&lt;&gt;1, "", IF(J720&lt;&gt;0, F720, $K$12))</f>
        <v>1</v>
      </c>
      <c r="G721" s="232" t="str">
        <f aca="false">IF(ISERROR(A721),"",ROUND(G720-E721+D721,2))</f>
        <v/>
      </c>
      <c r="H721" s="237" t="str">
        <f aca="false">IF(G721&gt;0,IFERROR(H720+(H720*($D$16/12)),""),"")</f>
        <v/>
      </c>
      <c r="I721" s="223" t="str">
        <f aca="false">IF(ISERROR(A722),"",12 - MONTH(B721))</f>
        <v/>
      </c>
      <c r="J721" s="224" t="n">
        <f aca="false">K721</f>
        <v>1</v>
      </c>
      <c r="K721" s="225" t="n">
        <f aca="false">_xlfn.IFNA(IF(B721&gt;=$K$11, 1,0),0)</f>
        <v>1</v>
      </c>
      <c r="L721" s="60" t="str">
        <f aca="false">IF(I721=0,1,"")</f>
        <v/>
      </c>
      <c r="P721" s="4"/>
      <c r="V721" s="71"/>
    </row>
    <row r="722" customFormat="false" ht="12.75" hidden="false" customHeight="true" outlineLevel="0" collapsed="false">
      <c r="A722" s="228" t="e">
        <f aca="false">IF(OR(G721="",G721&lt;=0,C721&gt;150),NA(),A721+1)</f>
        <v>#N/A</v>
      </c>
      <c r="B722" s="229" t="str">
        <f aca="false">IF(ISERROR(A722),"",IF($D$9="Annually",EDATE(B721,12),EDATE(B721,1)))</f>
        <v/>
      </c>
      <c r="C722" s="230" t="str">
        <f aca="false">IF(ISERROR(A722),"",C721+IF($D$9="Monthly",1/12,1))</f>
        <v/>
      </c>
      <c r="D722" s="231" t="n">
        <f aca="false">IF(L721&lt;&gt;1, IF(G721&lt;E721,0,D721),IF(L721=1,IFERROR(ROUND(IF($G721 - (E721 * 6) &lt; 0, D721, ($G721 - (E721 * 6)) * $D$8 / 12),2),0) ) )</f>
        <v>0</v>
      </c>
      <c r="E722" s="231" t="n">
        <f aca="false">IF(ISERROR(A722), 0,  MAX(0,   MIN(    ROUND(G721 + D722, 2),    ROUND(FV($S$5, IF(type=1, A722, A721), , IF(J722&lt;&gt;1, -$D$20, -$P$16 + P722), 2), 0)   )  ) )</f>
        <v>0</v>
      </c>
      <c r="F722" s="231" t="n">
        <f aca="false">IF(J722&lt;&gt;1, "", IF(J721&lt;&gt;0, F721, $K$12))</f>
        <v>1</v>
      </c>
      <c r="G722" s="232" t="str">
        <f aca="false">IF(ISERROR(A722),"",ROUND(G721-E722+D722,2))</f>
        <v/>
      </c>
      <c r="H722" s="237" t="str">
        <f aca="false">IF(G722&gt;0,IFERROR(H721+(H721*($D$16/12)),""),"")</f>
        <v/>
      </c>
      <c r="I722" s="223" t="str">
        <f aca="false">IF(ISERROR(A723),"",12 - MONTH(B722))</f>
        <v/>
      </c>
      <c r="J722" s="224" t="n">
        <f aca="false">K722</f>
        <v>1</v>
      </c>
      <c r="K722" s="225" t="n">
        <f aca="false">_xlfn.IFNA(IF(B722&gt;=$K$11, 1,0),0)</f>
        <v>1</v>
      </c>
      <c r="L722" s="60" t="str">
        <f aca="false">IF(I722=0,1,"")</f>
        <v/>
      </c>
      <c r="P722" s="4"/>
      <c r="V722" s="71"/>
    </row>
    <row r="723" customFormat="false" ht="12.75" hidden="false" customHeight="true" outlineLevel="0" collapsed="false">
      <c r="A723" s="228" t="e">
        <f aca="false">IF(OR(G722="",G722&lt;=0,C722&gt;150),NA(),A722+1)</f>
        <v>#N/A</v>
      </c>
      <c r="B723" s="229" t="str">
        <f aca="false">IF(ISERROR(A723),"",IF($D$9="Annually",EDATE(B722,12),EDATE(B722,1)))</f>
        <v/>
      </c>
      <c r="C723" s="230" t="str">
        <f aca="false">IF(ISERROR(A723),"",C722+IF($D$9="Monthly",1/12,1))</f>
        <v/>
      </c>
      <c r="D723" s="231" t="n">
        <f aca="false">IF(L722&lt;&gt;1, IF(G722&lt;E722,0,D722),IF(L722=1,IFERROR(ROUND(IF($G722 - (E722 * 6) &lt; 0, D722, ($G722 - (E722 * 6)) * $D$8 / 12),2),0) ) )</f>
        <v>0</v>
      </c>
      <c r="E723" s="231" t="n">
        <f aca="false">IF(ISERROR(A723), 0,  MAX(0,   MIN(    ROUND(G722 + D723, 2),    ROUND(FV($S$5, IF(type=1, A723, A722), , IF(J723&lt;&gt;1, -$D$20, -$P$16 + P723), 2), 0)   )  ) )</f>
        <v>0</v>
      </c>
      <c r="F723" s="231" t="n">
        <f aca="false">IF(J723&lt;&gt;1, "", IF(J722&lt;&gt;0, F722, $K$12))</f>
        <v>1</v>
      </c>
      <c r="G723" s="232" t="str">
        <f aca="false">IF(ISERROR(A723),"",ROUND(G722-E723+D723,2))</f>
        <v/>
      </c>
      <c r="H723" s="237" t="str">
        <f aca="false">IF(G723&gt;0,IFERROR(H722+(H722*($D$16/12)),""),"")</f>
        <v/>
      </c>
      <c r="I723" s="223" t="str">
        <f aca="false">IF(ISERROR(A724),"",12 - MONTH(B723))</f>
        <v/>
      </c>
      <c r="J723" s="224" t="n">
        <f aca="false">K723</f>
        <v>1</v>
      </c>
      <c r="K723" s="225" t="n">
        <f aca="false">_xlfn.IFNA(IF(B723&gt;=$K$11, 1,0),0)</f>
        <v>1</v>
      </c>
      <c r="L723" s="60" t="str">
        <f aca="false">IF(I723=0,1,"")</f>
        <v/>
      </c>
      <c r="P723" s="4"/>
      <c r="V723" s="71"/>
    </row>
    <row r="724" customFormat="false" ht="12.75" hidden="false" customHeight="true" outlineLevel="0" collapsed="false">
      <c r="A724" s="228" t="e">
        <f aca="false">IF(OR(G723="",G723&lt;=0,C723&gt;150),NA(),A723+1)</f>
        <v>#N/A</v>
      </c>
      <c r="B724" s="229" t="str">
        <f aca="false">IF(ISERROR(A724),"",IF($D$9="Annually",EDATE(B723,12),EDATE(B723,1)))</f>
        <v/>
      </c>
      <c r="C724" s="230" t="str">
        <f aca="false">IF(ISERROR(A724),"",C723+IF($D$9="Monthly",1/12,1))</f>
        <v/>
      </c>
      <c r="D724" s="231" t="n">
        <f aca="false">IF(L723&lt;&gt;1, IF(G723&lt;E723,0,D723),IF(L723=1,IFERROR(ROUND(IF($G723 - (E723 * 6) &lt; 0, D723, ($G723 - (E723 * 6)) * $D$8 / 12),2),0) ) )</f>
        <v>0</v>
      </c>
      <c r="E724" s="231" t="n">
        <f aca="false">IF(ISERROR(A724), 0,  MAX(0,   MIN(    ROUND(G723 + D724, 2),    ROUND(FV($S$5, IF(type=1, A724, A723), , IF(J724&lt;&gt;1, -$D$20, -$P$16 + P724), 2), 0)   )  ) )</f>
        <v>0</v>
      </c>
      <c r="F724" s="231" t="n">
        <f aca="false">IF(J724&lt;&gt;1, "", IF(J723&lt;&gt;0, F723, $K$12))</f>
        <v>1</v>
      </c>
      <c r="G724" s="232" t="str">
        <f aca="false">IF(ISERROR(A724),"",ROUND(G723-E724+D724,2))</f>
        <v/>
      </c>
      <c r="H724" s="237" t="str">
        <f aca="false">IF(G724&gt;0,IFERROR(H723+(H723*($D$16/12)),""),"")</f>
        <v/>
      </c>
      <c r="I724" s="223" t="str">
        <f aca="false">IF(ISERROR(A725),"",12 - MONTH(B724))</f>
        <v/>
      </c>
      <c r="J724" s="224" t="n">
        <f aca="false">K724</f>
        <v>1</v>
      </c>
      <c r="K724" s="225" t="n">
        <f aca="false">_xlfn.IFNA(IF(B724&gt;=$K$11, 1,0),0)</f>
        <v>1</v>
      </c>
      <c r="L724" s="60" t="str">
        <f aca="false">IF(I724=0,1,"")</f>
        <v/>
      </c>
      <c r="P724" s="4"/>
      <c r="V724" s="71"/>
    </row>
    <row r="725" customFormat="false" ht="12.75" hidden="false" customHeight="true" outlineLevel="0" collapsed="false">
      <c r="A725" s="228" t="e">
        <f aca="false">IF(OR(G724="",G724&lt;=0,C724&gt;150),NA(),A724+1)</f>
        <v>#N/A</v>
      </c>
      <c r="B725" s="229" t="str">
        <f aca="false">IF(ISERROR(A725),"",IF($D$9="Annually",EDATE(B724,12),EDATE(B724,1)))</f>
        <v/>
      </c>
      <c r="C725" s="230" t="str">
        <f aca="false">IF(ISERROR(A725),"",C724+IF($D$9="Monthly",1/12,1))</f>
        <v/>
      </c>
      <c r="D725" s="231" t="n">
        <f aca="false">IF(L724&lt;&gt;1, IF(G724&lt;E724,0,D724),IF(L724=1,IFERROR(ROUND(IF($G724 - (E724 * 6) &lt; 0, D724, ($G724 - (E724 * 6)) * $D$8 / 12),2),0) ) )</f>
        <v>0</v>
      </c>
      <c r="E725" s="231" t="n">
        <f aca="false">IF(ISERROR(A725), 0,  MAX(0,   MIN(    ROUND(G724 + D725, 2),    ROUND(FV($S$5, IF(type=1, A725, A724), , IF(J725&lt;&gt;1, -$D$20, -$P$16 + P725), 2), 0)   )  ) )</f>
        <v>0</v>
      </c>
      <c r="F725" s="231" t="n">
        <f aca="false">IF(J725&lt;&gt;1, "", IF(J724&lt;&gt;0, F724, $K$12))</f>
        <v>1</v>
      </c>
      <c r="G725" s="232" t="str">
        <f aca="false">IF(ISERROR(A725),"",ROUND(G724-E725+D725,2))</f>
        <v/>
      </c>
      <c r="H725" s="237" t="str">
        <f aca="false">IF(G725&gt;0,IFERROR(H724+(H724*($D$16/12)),""),"")</f>
        <v/>
      </c>
      <c r="I725" s="223" t="str">
        <f aca="false">IF(ISERROR(A726),"",12 - MONTH(B725))</f>
        <v/>
      </c>
      <c r="J725" s="224" t="n">
        <f aca="false">K725</f>
        <v>1</v>
      </c>
      <c r="K725" s="225" t="n">
        <f aca="false">_xlfn.IFNA(IF(B725&gt;=$K$11, 1,0),0)</f>
        <v>1</v>
      </c>
      <c r="L725" s="60" t="str">
        <f aca="false">IF(I725=0,1,"")</f>
        <v/>
      </c>
      <c r="P725" s="4"/>
      <c r="V725" s="71"/>
    </row>
    <row r="726" customFormat="false" ht="12.75" hidden="false" customHeight="true" outlineLevel="0" collapsed="false">
      <c r="A726" s="228" t="e">
        <f aca="false">IF(OR(G725="",G725&lt;=0,C725&gt;150),NA(),A725+1)</f>
        <v>#N/A</v>
      </c>
      <c r="B726" s="229" t="str">
        <f aca="false">IF(ISERROR(A726),"",IF($D$9="Annually",EDATE(B725,12),EDATE(B725,1)))</f>
        <v/>
      </c>
      <c r="C726" s="230" t="str">
        <f aca="false">IF(ISERROR(A726),"",C725+IF($D$9="Monthly",1/12,1))</f>
        <v/>
      </c>
      <c r="D726" s="231" t="n">
        <f aca="false">IF(L725&lt;&gt;1, IF(G725&lt;E725,0,D725),IF(L725=1,IFERROR(ROUND(IF($G725 - (E725 * 6) &lt; 0, D725, ($G725 - (E725 * 6)) * $D$8 / 12),2),0) ) )</f>
        <v>0</v>
      </c>
      <c r="E726" s="231" t="n">
        <f aca="false">IF(ISERROR(A726), 0,  MAX(0,   MIN(    ROUND(G725 + D726, 2),    ROUND(FV($S$5, IF(type=1, A726, A725), , IF(J726&lt;&gt;1, -$D$20, -$P$16 + P726), 2), 0)   )  ) )</f>
        <v>0</v>
      </c>
      <c r="F726" s="231" t="n">
        <f aca="false">IF(J726&lt;&gt;1, "", IF(J725&lt;&gt;0, F725, $K$12))</f>
        <v>1</v>
      </c>
      <c r="G726" s="232" t="str">
        <f aca="false">IF(ISERROR(A726),"",ROUND(G725-E726+D726,2))</f>
        <v/>
      </c>
      <c r="H726" s="237" t="str">
        <f aca="false">IF(G726&gt;0,IFERROR(H725+(H725*($D$16/12)),""),"")</f>
        <v/>
      </c>
      <c r="I726" s="223" t="str">
        <f aca="false">IF(ISERROR(A727),"",12 - MONTH(B726))</f>
        <v/>
      </c>
      <c r="J726" s="224" t="n">
        <f aca="false">K726</f>
        <v>1</v>
      </c>
      <c r="K726" s="225" t="n">
        <f aca="false">_xlfn.IFNA(IF(B726&gt;=$K$11, 1,0),0)</f>
        <v>1</v>
      </c>
      <c r="L726" s="60" t="str">
        <f aca="false">IF(I726=0,1,"")</f>
        <v/>
      </c>
      <c r="P726" s="4"/>
      <c r="V726" s="71"/>
    </row>
    <row r="727" customFormat="false" ht="12.75" hidden="false" customHeight="true" outlineLevel="0" collapsed="false">
      <c r="A727" s="228" t="e">
        <f aca="false">IF(OR(G726="",G726&lt;=0,C726&gt;150),NA(),A726+1)</f>
        <v>#N/A</v>
      </c>
      <c r="B727" s="229" t="str">
        <f aca="false">IF(ISERROR(A727),"",IF($D$9="Annually",EDATE(B726,12),EDATE(B726,1)))</f>
        <v/>
      </c>
      <c r="C727" s="230" t="str">
        <f aca="false">IF(ISERROR(A727),"",C726+IF($D$9="Monthly",1/12,1))</f>
        <v/>
      </c>
      <c r="D727" s="231" t="n">
        <f aca="false">IF(L726&lt;&gt;1, IF(G726&lt;E726,0,D726),IF(L726=1,IFERROR(ROUND(IF($G726 - (E726 * 6) &lt; 0, D726, ($G726 - (E726 * 6)) * $D$8 / 12),2),0) ) )</f>
        <v>0</v>
      </c>
      <c r="E727" s="231" t="n">
        <f aca="false">IF(ISERROR(A727), 0,  MAX(0,   MIN(    ROUND(G726 + D727, 2),    ROUND(FV($S$5, IF(type=1, A727, A726), , IF(J727&lt;&gt;1, -$D$20, -$P$16 + P727), 2), 0)   )  ) )</f>
        <v>0</v>
      </c>
      <c r="F727" s="231" t="n">
        <f aca="false">IF(J727&lt;&gt;1, "", IF(J726&lt;&gt;0, F726, $K$12))</f>
        <v>1</v>
      </c>
      <c r="G727" s="232" t="str">
        <f aca="false">IF(ISERROR(A727),"",ROUND(G726-E727+D727,2))</f>
        <v/>
      </c>
      <c r="H727" s="237" t="str">
        <f aca="false">IF(G727&gt;0,IFERROR(H726+(H726*($D$16/12)),""),"")</f>
        <v/>
      </c>
      <c r="I727" s="223" t="str">
        <f aca="false">IF(ISERROR(A728),"",12 - MONTH(B727))</f>
        <v/>
      </c>
      <c r="J727" s="224" t="n">
        <f aca="false">K727</f>
        <v>1</v>
      </c>
      <c r="K727" s="225" t="n">
        <f aca="false">_xlfn.IFNA(IF(B727&gt;=$K$11, 1,0),0)</f>
        <v>1</v>
      </c>
      <c r="L727" s="60" t="str">
        <f aca="false">IF(I727=0,1,"")</f>
        <v/>
      </c>
      <c r="P727" s="4"/>
      <c r="V727" s="71"/>
    </row>
    <row r="728" customFormat="false" ht="12.75" hidden="false" customHeight="true" outlineLevel="0" collapsed="false">
      <c r="A728" s="228" t="e">
        <f aca="false">IF(OR(G727="",G727&lt;=0,C727&gt;150),NA(),A727+1)</f>
        <v>#N/A</v>
      </c>
      <c r="B728" s="229" t="str">
        <f aca="false">IF(ISERROR(A728),"",IF($D$9="Annually",EDATE(B727,12),EDATE(B727,1)))</f>
        <v/>
      </c>
      <c r="C728" s="230" t="str">
        <f aca="false">IF(ISERROR(A728),"",C727+IF($D$9="Monthly",1/12,1))</f>
        <v/>
      </c>
      <c r="D728" s="231" t="n">
        <f aca="false">IF(L727&lt;&gt;1, IF(G727&lt;E727,0,D727),IF(L727=1,IFERROR(ROUND(IF($G727 - (E727 * 6) &lt; 0, D727, ($G727 - (E727 * 6)) * $D$8 / 12),2),0) ) )</f>
        <v>0</v>
      </c>
      <c r="E728" s="231" t="n">
        <f aca="false">IF(ISERROR(A728), 0,  MAX(0,   MIN(    ROUND(G727 + D728, 2),    ROUND(FV($S$5, IF(type=1, A728, A727), , IF(J728&lt;&gt;1, -$D$20, -$P$16 + P728), 2), 0)   )  ) )</f>
        <v>0</v>
      </c>
      <c r="F728" s="231" t="n">
        <f aca="false">IF(J728&lt;&gt;1, "", IF(J727&lt;&gt;0, F727, $K$12))</f>
        <v>1</v>
      </c>
      <c r="G728" s="232" t="str">
        <f aca="false">IF(ISERROR(A728),"",ROUND(G727-E728+D728,2))</f>
        <v/>
      </c>
      <c r="H728" s="237" t="str">
        <f aca="false">IF(G728&gt;0,IFERROR(H727+(H727*($D$16/12)),""),"")</f>
        <v/>
      </c>
      <c r="I728" s="223" t="str">
        <f aca="false">IF(ISERROR(A729),"",12 - MONTH(B728))</f>
        <v/>
      </c>
      <c r="J728" s="224" t="n">
        <f aca="false">K728</f>
        <v>1</v>
      </c>
      <c r="K728" s="225" t="n">
        <f aca="false">_xlfn.IFNA(IF(B728&gt;=$K$11, 1,0),0)</f>
        <v>1</v>
      </c>
      <c r="L728" s="60" t="str">
        <f aca="false">IF(I728=0,1,"")</f>
        <v/>
      </c>
      <c r="P728" s="4"/>
      <c r="V728" s="71"/>
    </row>
    <row r="729" customFormat="false" ht="12.75" hidden="false" customHeight="true" outlineLevel="0" collapsed="false">
      <c r="A729" s="228" t="e">
        <f aca="false">IF(OR(G728="",G728&lt;=0,C728&gt;150),NA(),A728+1)</f>
        <v>#N/A</v>
      </c>
      <c r="B729" s="229" t="str">
        <f aca="false">IF(ISERROR(A729),"",IF($D$9="Annually",EDATE(B728,12),EDATE(B728,1)))</f>
        <v/>
      </c>
      <c r="C729" s="230" t="str">
        <f aca="false">IF(ISERROR(A729),"",C728+IF($D$9="Monthly",1/12,1))</f>
        <v/>
      </c>
      <c r="D729" s="231" t="n">
        <f aca="false">IF(L728&lt;&gt;1, IF(G728&lt;E728,0,D728),IF(L728=1,IFERROR(ROUND(IF($G728 - (E728 * 6) &lt; 0, D728, ($G728 - (E728 * 6)) * $D$8 / 12),2),0) ) )</f>
        <v>0</v>
      </c>
      <c r="E729" s="231" t="n">
        <f aca="false">IF(ISERROR(A729), 0,  MAX(0,   MIN(    ROUND(G728 + D729, 2),    ROUND(FV($S$5, IF(type=1, A729, A728), , IF(J729&lt;&gt;1, -$D$20, -$P$16 + P729), 2), 0)   )  ) )</f>
        <v>0</v>
      </c>
      <c r="F729" s="231" t="n">
        <f aca="false">IF(J729&lt;&gt;1, "", IF(J728&lt;&gt;0, F728, $K$12))</f>
        <v>1</v>
      </c>
      <c r="G729" s="232" t="str">
        <f aca="false">IF(ISERROR(A729),"",ROUND(G728-E729+D729,2))</f>
        <v/>
      </c>
      <c r="H729" s="237" t="str">
        <f aca="false">IF(G729&gt;0,IFERROR(H728+(H728*($D$16/12)),""),"")</f>
        <v/>
      </c>
      <c r="I729" s="223" t="str">
        <f aca="false">IF(ISERROR(A730),"",12 - MONTH(B729))</f>
        <v/>
      </c>
      <c r="J729" s="224" t="n">
        <f aca="false">K729</f>
        <v>1</v>
      </c>
      <c r="K729" s="225" t="n">
        <f aca="false">_xlfn.IFNA(IF(B729&gt;=$K$11, 1,0),0)</f>
        <v>1</v>
      </c>
      <c r="L729" s="60" t="str">
        <f aca="false">IF(I729=0,1,"")</f>
        <v/>
      </c>
      <c r="P729" s="4"/>
      <c r="V729" s="71"/>
    </row>
    <row r="730" customFormat="false" ht="12.75" hidden="false" customHeight="true" outlineLevel="0" collapsed="false">
      <c r="A730" s="228" t="e">
        <f aca="false">IF(OR(G729="",G729&lt;=0,C729&gt;150),NA(),A729+1)</f>
        <v>#N/A</v>
      </c>
      <c r="B730" s="229" t="str">
        <f aca="false">IF(ISERROR(A730),"",IF($D$9="Annually",EDATE(B729,12),EDATE(B729,1)))</f>
        <v/>
      </c>
      <c r="C730" s="230" t="str">
        <f aca="false">IF(ISERROR(A730),"",C729+IF($D$9="Monthly",1/12,1))</f>
        <v/>
      </c>
      <c r="D730" s="231" t="n">
        <f aca="false">IF(L729&lt;&gt;1, IF(G729&lt;E729,0,D729),IF(L729=1,IFERROR(ROUND(IF($G729 - (E729 * 6) &lt; 0, D729, ($G729 - (E729 * 6)) * $D$8 / 12),2),0) ) )</f>
        <v>0</v>
      </c>
      <c r="E730" s="231" t="n">
        <f aca="false">IF(ISERROR(A730), 0,  MAX(0,   MIN(    ROUND(G729 + D730, 2),    ROUND(FV($S$5, IF(type=1, A730, A729), , IF(J730&lt;&gt;1, -$D$20, -$P$16 + P730), 2), 0)   )  ) )</f>
        <v>0</v>
      </c>
      <c r="F730" s="231" t="n">
        <f aca="false">IF(J730&lt;&gt;1, "", IF(J729&lt;&gt;0, F729, $K$12))</f>
        <v>1</v>
      </c>
      <c r="G730" s="232" t="str">
        <f aca="false">IF(ISERROR(A730),"",ROUND(G729-E730+D730,2))</f>
        <v/>
      </c>
      <c r="H730" s="237" t="str">
        <f aca="false">IF(G730&gt;0,IFERROR(H729+(H729*($D$16/12)),""),"")</f>
        <v/>
      </c>
      <c r="I730" s="223" t="str">
        <f aca="false">IF(ISERROR(A731),"",12 - MONTH(B730))</f>
        <v/>
      </c>
      <c r="J730" s="224" t="n">
        <f aca="false">K730</f>
        <v>1</v>
      </c>
      <c r="K730" s="225" t="n">
        <f aca="false">_xlfn.IFNA(IF(B730&gt;=$K$11, 1,0),0)</f>
        <v>1</v>
      </c>
      <c r="L730" s="60" t="str">
        <f aca="false">IF(I730=0,1,"")</f>
        <v/>
      </c>
      <c r="P730" s="4"/>
      <c r="V730" s="71"/>
    </row>
    <row r="731" customFormat="false" ht="12.75" hidden="false" customHeight="true" outlineLevel="0" collapsed="false">
      <c r="A731" s="228" t="e">
        <f aca="false">IF(OR(G730="",G730&lt;=0,C730&gt;150),NA(),A730+1)</f>
        <v>#N/A</v>
      </c>
      <c r="B731" s="229" t="str">
        <f aca="false">IF(ISERROR(A731),"",IF($D$9="Annually",EDATE(B730,12),EDATE(B730,1)))</f>
        <v/>
      </c>
      <c r="C731" s="230" t="str">
        <f aca="false">IF(ISERROR(A731),"",C730+IF($D$9="Monthly",1/12,1))</f>
        <v/>
      </c>
      <c r="D731" s="231" t="n">
        <f aca="false">IF(L730&lt;&gt;1, IF(G730&lt;E730,0,D730),IF(L730=1,IFERROR(ROUND(IF($G730 - (E730 * 6) &lt; 0, D730, ($G730 - (E730 * 6)) * $D$8 / 12),2),0) ) )</f>
        <v>0</v>
      </c>
      <c r="E731" s="231" t="n">
        <f aca="false">IF(ISERROR(A731), 0,  MAX(0,   MIN(    ROUND(G730 + D731, 2),    ROUND(FV($S$5, IF(type=1, A731, A730), , IF(J731&lt;&gt;1, -$D$20, -$P$16 + P731), 2), 0)   )  ) )</f>
        <v>0</v>
      </c>
      <c r="F731" s="231" t="n">
        <f aca="false">IF(J731&lt;&gt;1, "", IF(J730&lt;&gt;0, F730, $K$12))</f>
        <v>1</v>
      </c>
      <c r="G731" s="232" t="str">
        <f aca="false">IF(ISERROR(A731),"",ROUND(G730-E731+D731,2))</f>
        <v/>
      </c>
      <c r="H731" s="237" t="str">
        <f aca="false">IF(G731&gt;0,IFERROR(H730+(H730*($D$16/12)),""),"")</f>
        <v/>
      </c>
      <c r="I731" s="223" t="str">
        <f aca="false">IF(ISERROR(A732),"",12 - MONTH(B731))</f>
        <v/>
      </c>
      <c r="J731" s="224" t="n">
        <f aca="false">K731</f>
        <v>1</v>
      </c>
      <c r="K731" s="225" t="n">
        <f aca="false">_xlfn.IFNA(IF(B731&gt;=$K$11, 1,0),0)</f>
        <v>1</v>
      </c>
      <c r="L731" s="60" t="str">
        <f aca="false">IF(I731=0,1,"")</f>
        <v/>
      </c>
      <c r="P731" s="4"/>
      <c r="V731" s="71"/>
    </row>
    <row r="732" customFormat="false" ht="12.75" hidden="false" customHeight="true" outlineLevel="0" collapsed="false">
      <c r="A732" s="228" t="e">
        <f aca="false">IF(OR(G731="",G731&lt;=0,C731&gt;150),NA(),A731+1)</f>
        <v>#N/A</v>
      </c>
      <c r="B732" s="229" t="str">
        <f aca="false">IF(ISERROR(A732),"",IF($D$9="Annually",EDATE(B731,12),EDATE(B731,1)))</f>
        <v/>
      </c>
      <c r="C732" s="230" t="str">
        <f aca="false">IF(ISERROR(A732),"",C731+IF($D$9="Monthly",1/12,1))</f>
        <v/>
      </c>
      <c r="D732" s="231" t="n">
        <f aca="false">IF(L731&lt;&gt;1, IF(G731&lt;E731,0,D731),IF(L731=1,IFERROR(ROUND(IF($G731 - (E731 * 6) &lt; 0, D731, ($G731 - (E731 * 6)) * $D$8 / 12),2),0) ) )</f>
        <v>0</v>
      </c>
      <c r="E732" s="231" t="n">
        <f aca="false">IF(ISERROR(A732), 0,  MAX(0,   MIN(    ROUND(G731 + D732, 2),    ROUND(FV($S$5, IF(type=1, A732, A731), , IF(J732&lt;&gt;1, -$D$20, -$P$16 + P732), 2), 0)   )  ) )</f>
        <v>0</v>
      </c>
      <c r="F732" s="231" t="n">
        <f aca="false">IF(J732&lt;&gt;1, "", IF(J731&lt;&gt;0, F731, $K$12))</f>
        <v>1</v>
      </c>
      <c r="G732" s="232" t="str">
        <f aca="false">IF(ISERROR(A732),"",ROUND(G731-E732+D732,2))</f>
        <v/>
      </c>
      <c r="H732" s="237" t="str">
        <f aca="false">IF(G732&gt;0,IFERROR(H731+(H731*($D$16/12)),""),"")</f>
        <v/>
      </c>
      <c r="I732" s="223" t="str">
        <f aca="false">IF(ISERROR(A733),"",12 - MONTH(B732))</f>
        <v/>
      </c>
      <c r="J732" s="224" t="n">
        <f aca="false">K732</f>
        <v>1</v>
      </c>
      <c r="K732" s="225" t="n">
        <f aca="false">_xlfn.IFNA(IF(B732&gt;=$K$11, 1,0),0)</f>
        <v>1</v>
      </c>
      <c r="L732" s="60" t="str">
        <f aca="false">IF(I732=0,1,"")</f>
        <v/>
      </c>
      <c r="P732" s="4"/>
      <c r="V732" s="71"/>
    </row>
    <row r="733" customFormat="false" ht="12.75" hidden="false" customHeight="true" outlineLevel="0" collapsed="false">
      <c r="A733" s="228" t="e">
        <f aca="false">IF(OR(G732="",G732&lt;=0,C732&gt;150),NA(),A732+1)</f>
        <v>#N/A</v>
      </c>
      <c r="B733" s="229" t="str">
        <f aca="false">IF(ISERROR(A733),"",IF($D$9="Annually",EDATE(B732,12),EDATE(B732,1)))</f>
        <v/>
      </c>
      <c r="C733" s="230" t="str">
        <f aca="false">IF(ISERROR(A733),"",C732+IF($D$9="Monthly",1/12,1))</f>
        <v/>
      </c>
      <c r="D733" s="231" t="n">
        <f aca="false">IF(L732&lt;&gt;1, IF(G732&lt;E732,0,D732),IF(L732=1,IFERROR(ROUND(IF($G732 - (E732 * 6) &lt; 0, D732, ($G732 - (E732 * 6)) * $D$8 / 12),2),0) ) )</f>
        <v>0</v>
      </c>
      <c r="E733" s="231" t="n">
        <f aca="false">IF(ISERROR(A733), 0,  MAX(0,   MIN(    ROUND(G732 + D733, 2),    ROUND(FV($S$5, IF(type=1, A733, A732), , IF(J733&lt;&gt;1, -$D$20, -$P$16 + P733), 2), 0)   )  ) )</f>
        <v>0</v>
      </c>
      <c r="F733" s="231" t="n">
        <f aca="false">IF(J733&lt;&gt;1, "", IF(J732&lt;&gt;0, F732, $K$12))</f>
        <v>1</v>
      </c>
      <c r="G733" s="232" t="str">
        <f aca="false">IF(ISERROR(A733),"",ROUND(G732-E733+D733,2))</f>
        <v/>
      </c>
      <c r="H733" s="237" t="str">
        <f aca="false">IF(G733&gt;0,IFERROR(H732+(H732*($D$16/12)),""),"")</f>
        <v/>
      </c>
      <c r="I733" s="223" t="str">
        <f aca="false">IF(ISERROR(A734),"",12 - MONTH(B733))</f>
        <v/>
      </c>
      <c r="J733" s="224" t="n">
        <f aca="false">K733</f>
        <v>1</v>
      </c>
      <c r="K733" s="225" t="n">
        <f aca="false">_xlfn.IFNA(IF(B733&gt;=$K$11, 1,0),0)</f>
        <v>1</v>
      </c>
      <c r="L733" s="60" t="str">
        <f aca="false">IF(I733=0,1,"")</f>
        <v/>
      </c>
      <c r="P733" s="4"/>
      <c r="V733" s="71"/>
    </row>
    <row r="734" customFormat="false" ht="12.75" hidden="false" customHeight="true" outlineLevel="0" collapsed="false">
      <c r="A734" s="228" t="e">
        <f aca="false">IF(OR(G733="",G733&lt;=0,C733&gt;150),NA(),A733+1)</f>
        <v>#N/A</v>
      </c>
      <c r="B734" s="229" t="str">
        <f aca="false">IF(ISERROR(A734),"",IF($D$9="Annually",EDATE(B733,12),EDATE(B733,1)))</f>
        <v/>
      </c>
      <c r="C734" s="230" t="str">
        <f aca="false">IF(ISERROR(A734),"",C733+IF($D$9="Monthly",1/12,1))</f>
        <v/>
      </c>
      <c r="D734" s="231" t="n">
        <f aca="false">IF(L733&lt;&gt;1, IF(G733&lt;E733,0,D733),IF(L733=1,IFERROR(ROUND(IF($G733 - (E733 * 6) &lt; 0, D733, ($G733 - (E733 * 6)) * $D$8 / 12),2),0) ) )</f>
        <v>0</v>
      </c>
      <c r="E734" s="231" t="n">
        <f aca="false">IF(ISERROR(A734), 0,  MAX(0,   MIN(    ROUND(G733 + D734, 2),    ROUND(FV($S$5, IF(type=1, A734, A733), , IF(J734&lt;&gt;1, -$D$20, -$P$16 + P734), 2), 0)   )  ) )</f>
        <v>0</v>
      </c>
      <c r="F734" s="231" t="n">
        <f aca="false">IF(J734&lt;&gt;1, "", IF(J733&lt;&gt;0, F733, $K$12))</f>
        <v>1</v>
      </c>
      <c r="G734" s="232" t="str">
        <f aca="false">IF(ISERROR(A734),"",ROUND(G733-E734+D734,2))</f>
        <v/>
      </c>
      <c r="H734" s="237" t="str">
        <f aca="false">IF(G734&gt;0,IFERROR(H733+(H733*($D$16/12)),""),"")</f>
        <v/>
      </c>
      <c r="I734" s="223" t="str">
        <f aca="false">IF(ISERROR(A735),"",12 - MONTH(B734))</f>
        <v/>
      </c>
      <c r="J734" s="224" t="n">
        <f aca="false">K734</f>
        <v>1</v>
      </c>
      <c r="K734" s="225" t="n">
        <f aca="false">_xlfn.IFNA(IF(B734&gt;=$K$11, 1,0),0)</f>
        <v>1</v>
      </c>
      <c r="L734" s="60" t="str">
        <f aca="false">IF(I734=0,1,"")</f>
        <v/>
      </c>
      <c r="P734" s="4"/>
      <c r="V734" s="71"/>
    </row>
    <row r="735" customFormat="false" ht="12.75" hidden="false" customHeight="true" outlineLevel="0" collapsed="false">
      <c r="A735" s="228" t="e">
        <f aca="false">IF(OR(G734="",G734&lt;=0,C734&gt;150),NA(),A734+1)</f>
        <v>#N/A</v>
      </c>
      <c r="B735" s="229" t="str">
        <f aca="false">IF(ISERROR(A735),"",IF($D$9="Annually",EDATE(B734,12),EDATE(B734,1)))</f>
        <v/>
      </c>
      <c r="C735" s="230" t="str">
        <f aca="false">IF(ISERROR(A735),"",C734+IF($D$9="Monthly",1/12,1))</f>
        <v/>
      </c>
      <c r="D735" s="231" t="n">
        <f aca="false">IF(L734&lt;&gt;1, IF(G734&lt;E734,0,D734),IF(L734=1,IFERROR(ROUND(IF($G734 - (E734 * 6) &lt; 0, D734, ($G734 - (E734 * 6)) * $D$8 / 12),2),0) ) )</f>
        <v>0</v>
      </c>
      <c r="E735" s="231" t="n">
        <f aca="false">IF(ISERROR(A735), 0,  MAX(0,   MIN(    ROUND(G734 + D735, 2),    ROUND(FV($S$5, IF(type=1, A735, A734), , IF(J735&lt;&gt;1, -$D$20, -$P$16 + P735), 2), 0)   )  ) )</f>
        <v>0</v>
      </c>
      <c r="F735" s="231" t="n">
        <f aca="false">IF(J735&lt;&gt;1, "", IF(J734&lt;&gt;0, F734, $K$12))</f>
        <v>1</v>
      </c>
      <c r="G735" s="232" t="str">
        <f aca="false">IF(ISERROR(A735),"",ROUND(G734-E735+D735,2))</f>
        <v/>
      </c>
      <c r="H735" s="237" t="str">
        <f aca="false">IF(G735&gt;0,IFERROR(H734+(H734*($D$16/12)),""),"")</f>
        <v/>
      </c>
      <c r="I735" s="223" t="str">
        <f aca="false">IF(ISERROR(A736),"",12 - MONTH(B735))</f>
        <v/>
      </c>
      <c r="J735" s="224" t="n">
        <f aca="false">K735</f>
        <v>1</v>
      </c>
      <c r="K735" s="225" t="n">
        <f aca="false">_xlfn.IFNA(IF(B735&gt;=$K$11, 1,0),0)</f>
        <v>1</v>
      </c>
      <c r="L735" s="60" t="str">
        <f aca="false">IF(I735=0,1,"")</f>
        <v/>
      </c>
      <c r="P735" s="4"/>
      <c r="V735" s="71"/>
    </row>
    <row r="736" customFormat="false" ht="12.75" hidden="false" customHeight="true" outlineLevel="0" collapsed="false">
      <c r="A736" s="228" t="e">
        <f aca="false">IF(OR(G735="",G735&lt;=0,C735&gt;150),NA(),A735+1)</f>
        <v>#N/A</v>
      </c>
      <c r="B736" s="229" t="str">
        <f aca="false">IF(ISERROR(A736),"",IF($D$9="Annually",EDATE(B735,12),EDATE(B735,1)))</f>
        <v/>
      </c>
      <c r="C736" s="230" t="str">
        <f aca="false">IF(ISERROR(A736),"",C735+IF($D$9="Monthly",1/12,1))</f>
        <v/>
      </c>
      <c r="D736" s="231" t="n">
        <f aca="false">IF(L735&lt;&gt;1, IF(G735&lt;E735,0,D735),IF(L735=1,IFERROR(ROUND(IF($G735 - (E735 * 6) &lt; 0, D735, ($G735 - (E735 * 6)) * $D$8 / 12),2),0) ) )</f>
        <v>0</v>
      </c>
      <c r="E736" s="231" t="n">
        <f aca="false">IF(ISERROR(A736), 0,  MAX(0,   MIN(    ROUND(G735 + D736, 2),    ROUND(FV($S$5, IF(type=1, A736, A735), , IF(J736&lt;&gt;1, -$D$20, -$P$16 + P736), 2), 0)   )  ) )</f>
        <v>0</v>
      </c>
      <c r="F736" s="231" t="n">
        <f aca="false">IF(J736&lt;&gt;1, "", IF(J735&lt;&gt;0, F735, $K$12))</f>
        <v>1</v>
      </c>
      <c r="G736" s="232" t="str">
        <f aca="false">IF(ISERROR(A736),"",ROUND(G735-E736+D736,2))</f>
        <v/>
      </c>
      <c r="H736" s="237" t="str">
        <f aca="false">IF(G736&gt;0,IFERROR(H735+(H735*($D$16/12)),""),"")</f>
        <v/>
      </c>
      <c r="I736" s="223" t="str">
        <f aca="false">IF(ISERROR(A737),"",12 - MONTH(B736))</f>
        <v/>
      </c>
      <c r="J736" s="224" t="n">
        <f aca="false">K736</f>
        <v>1</v>
      </c>
      <c r="K736" s="225" t="n">
        <f aca="false">_xlfn.IFNA(IF(B736&gt;=$K$11, 1,0),0)</f>
        <v>1</v>
      </c>
      <c r="L736" s="60" t="str">
        <f aca="false">IF(I736=0,1,"")</f>
        <v/>
      </c>
      <c r="P736" s="4"/>
      <c r="V736" s="71"/>
    </row>
    <row r="737" customFormat="false" ht="12.75" hidden="false" customHeight="true" outlineLevel="0" collapsed="false">
      <c r="A737" s="228" t="e">
        <f aca="false">IF(OR(G736="",G736&lt;=0,C736&gt;150),NA(),A736+1)</f>
        <v>#N/A</v>
      </c>
      <c r="B737" s="229" t="str">
        <f aca="false">IF(ISERROR(A737),"",IF($D$9="Annually",EDATE(B736,12),EDATE(B736,1)))</f>
        <v/>
      </c>
      <c r="C737" s="230" t="str">
        <f aca="false">IF(ISERROR(A737),"",C736+IF($D$9="Monthly",1/12,1))</f>
        <v/>
      </c>
      <c r="D737" s="231" t="n">
        <f aca="false">IF(L736&lt;&gt;1, IF(G736&lt;E736,0,D736),IF(L736=1,IFERROR(ROUND(IF($G736 - (E736 * 6) &lt; 0, D736, ($G736 - (E736 * 6)) * $D$8 / 12),2),0) ) )</f>
        <v>0</v>
      </c>
      <c r="E737" s="231" t="n">
        <f aca="false">IF(ISERROR(A737), 0,  MAX(0,   MIN(    ROUND(G736 + D737, 2),    ROUND(FV($S$5, IF(type=1, A737, A736), , IF(J737&lt;&gt;1, -$D$20, -$P$16 + P737), 2), 0)   )  ) )</f>
        <v>0</v>
      </c>
      <c r="F737" s="231" t="n">
        <f aca="false">IF(J737&lt;&gt;1, "", IF(J736&lt;&gt;0, F736, $K$12))</f>
        <v>1</v>
      </c>
      <c r="G737" s="232" t="str">
        <f aca="false">IF(ISERROR(A737),"",ROUND(G736-E737+D737,2))</f>
        <v/>
      </c>
      <c r="H737" s="237" t="str">
        <f aca="false">IF(G737&gt;0,IFERROR(H736+(H736*($D$16/12)),""),"")</f>
        <v/>
      </c>
      <c r="I737" s="223" t="str">
        <f aca="false">IF(ISERROR(A738),"",12 - MONTH(B737))</f>
        <v/>
      </c>
      <c r="J737" s="224" t="n">
        <f aca="false">K737</f>
        <v>1</v>
      </c>
      <c r="K737" s="225" t="n">
        <f aca="false">_xlfn.IFNA(IF(B737&gt;=$K$11, 1,0),0)</f>
        <v>1</v>
      </c>
      <c r="L737" s="60" t="str">
        <f aca="false">IF(I737=0,1,"")</f>
        <v/>
      </c>
      <c r="P737" s="4"/>
      <c r="V737" s="71"/>
    </row>
    <row r="738" customFormat="false" ht="12.75" hidden="false" customHeight="true" outlineLevel="0" collapsed="false">
      <c r="A738" s="228" t="e">
        <f aca="false">IF(OR(G737="",G737&lt;=0,C737&gt;150),NA(),A737+1)</f>
        <v>#N/A</v>
      </c>
      <c r="B738" s="229" t="str">
        <f aca="false">IF(ISERROR(A738),"",IF($D$9="Annually",EDATE(B737,12),EDATE(B737,1)))</f>
        <v/>
      </c>
      <c r="C738" s="230" t="str">
        <f aca="false">IF(ISERROR(A738),"",C737+IF($D$9="Monthly",1/12,1))</f>
        <v/>
      </c>
      <c r="D738" s="231" t="n">
        <f aca="false">IF(L737&lt;&gt;1, IF(G737&lt;E737,0,D737),IF(L737=1,IFERROR(ROUND(IF($G737 - (E737 * 6) &lt; 0, D737, ($G737 - (E737 * 6)) * $D$8 / 12),2),0) ) )</f>
        <v>0</v>
      </c>
      <c r="E738" s="231" t="n">
        <f aca="false">IF(ISERROR(A738), 0,  MAX(0,   MIN(    ROUND(G737 + D738, 2),    ROUND(FV($S$5, IF(type=1, A738, A737), , IF(J738&lt;&gt;1, -$D$20, -$P$16 + P738), 2), 0)   )  ) )</f>
        <v>0</v>
      </c>
      <c r="F738" s="231" t="n">
        <f aca="false">IF(J738&lt;&gt;1, "", IF(J737&lt;&gt;0, F737, $K$12))</f>
        <v>1</v>
      </c>
      <c r="G738" s="232" t="str">
        <f aca="false">IF(ISERROR(A738),"",ROUND(G737-E738+D738,2))</f>
        <v/>
      </c>
      <c r="H738" s="237" t="str">
        <f aca="false">IF(G738&gt;0,IFERROR(H737+(H737*($D$16/12)),""),"")</f>
        <v/>
      </c>
      <c r="I738" s="223" t="str">
        <f aca="false">IF(ISERROR(A739),"",12 - MONTH(B738))</f>
        <v/>
      </c>
      <c r="J738" s="224" t="n">
        <f aca="false">K738</f>
        <v>1</v>
      </c>
      <c r="K738" s="225" t="n">
        <f aca="false">_xlfn.IFNA(IF(B738&gt;=$K$11, 1,0),0)</f>
        <v>1</v>
      </c>
      <c r="L738" s="60" t="str">
        <f aca="false">IF(I738=0,1,"")</f>
        <v/>
      </c>
      <c r="P738" s="4"/>
      <c r="V738" s="71"/>
    </row>
    <row r="739" customFormat="false" ht="12.75" hidden="false" customHeight="true" outlineLevel="0" collapsed="false">
      <c r="A739" s="228" t="e">
        <f aca="false">IF(OR(G738="",G738&lt;=0,C738&gt;150),NA(),A738+1)</f>
        <v>#N/A</v>
      </c>
      <c r="B739" s="229" t="str">
        <f aca="false">IF(ISERROR(A739),"",IF($D$9="Annually",EDATE(B738,12),EDATE(B738,1)))</f>
        <v/>
      </c>
      <c r="C739" s="230" t="str">
        <f aca="false">IF(ISERROR(A739),"",C738+IF($D$9="Monthly",1/12,1))</f>
        <v/>
      </c>
      <c r="D739" s="231" t="n">
        <f aca="false">IF(L738&lt;&gt;1, IF(G738&lt;E738,0,D738),IF(L738=1,IFERROR(ROUND(IF($G738 - (E738 * 6) &lt; 0, D738, ($G738 - (E738 * 6)) * $D$8 / 12),2),0) ) )</f>
        <v>0</v>
      </c>
      <c r="E739" s="231" t="n">
        <f aca="false">IF(ISERROR(A739), 0,  MAX(0,   MIN(    ROUND(G738 + D739, 2),    ROUND(FV($S$5, IF(type=1, A739, A738), , IF(J739&lt;&gt;1, -$D$20, -$P$16 + P739), 2), 0)   )  ) )</f>
        <v>0</v>
      </c>
      <c r="F739" s="231" t="n">
        <f aca="false">IF(J739&lt;&gt;1, "", IF(J738&lt;&gt;0, F738, $K$12))</f>
        <v>1</v>
      </c>
      <c r="G739" s="232" t="str">
        <f aca="false">IF(ISERROR(A739),"",ROUND(G738-E739+D739,2))</f>
        <v/>
      </c>
      <c r="H739" s="237" t="str">
        <f aca="false">IF(G739&gt;0,IFERROR(H738+(H738*($D$16/12)),""),"")</f>
        <v/>
      </c>
      <c r="I739" s="223" t="str">
        <f aca="false">IF(ISERROR(A740),"",12 - MONTH(B739))</f>
        <v/>
      </c>
      <c r="J739" s="224" t="n">
        <f aca="false">K739</f>
        <v>1</v>
      </c>
      <c r="K739" s="225" t="n">
        <f aca="false">_xlfn.IFNA(IF(B739&gt;=$K$11, 1,0),0)</f>
        <v>1</v>
      </c>
      <c r="L739" s="60" t="str">
        <f aca="false">IF(I739=0,1,"")</f>
        <v/>
      </c>
      <c r="P739" s="4"/>
      <c r="V739" s="71"/>
    </row>
    <row r="740" customFormat="false" ht="12.75" hidden="false" customHeight="true" outlineLevel="0" collapsed="false">
      <c r="A740" s="228" t="e">
        <f aca="false">IF(OR(G739="",G739&lt;=0,C739&gt;150),NA(),A739+1)</f>
        <v>#N/A</v>
      </c>
      <c r="B740" s="229" t="str">
        <f aca="false">IF(ISERROR(A740),"",IF($D$9="Annually",EDATE(B739,12),EDATE(B739,1)))</f>
        <v/>
      </c>
      <c r="C740" s="230" t="str">
        <f aca="false">IF(ISERROR(A740),"",C739+IF($D$9="Monthly",1/12,1))</f>
        <v/>
      </c>
      <c r="D740" s="231" t="n">
        <f aca="false">IF(L739&lt;&gt;1, IF(G739&lt;E739,0,D739),IF(L739=1,IFERROR(ROUND(IF($G739 - (E739 * 6) &lt; 0, D739, ($G739 - (E739 * 6)) * $D$8 / 12),2),0) ) )</f>
        <v>0</v>
      </c>
      <c r="E740" s="231" t="n">
        <f aca="false">IF(ISERROR(A740), 0,  MAX(0,   MIN(    ROUND(G739 + D740, 2),    ROUND(FV($S$5, IF(type=1, A740, A739), , IF(J740&lt;&gt;1, -$D$20, -$P$16 + P740), 2), 0)   )  ) )</f>
        <v>0</v>
      </c>
      <c r="F740" s="231" t="n">
        <f aca="false">IF(J740&lt;&gt;1, "", IF(J739&lt;&gt;0, F739, $K$12))</f>
        <v>1</v>
      </c>
      <c r="G740" s="232" t="str">
        <f aca="false">IF(ISERROR(A740),"",ROUND(G739-E740+D740,2))</f>
        <v/>
      </c>
      <c r="H740" s="237" t="str">
        <f aca="false">IF(G740&gt;0,IFERROR(H739+(H739*($D$16/12)),""),"")</f>
        <v/>
      </c>
      <c r="I740" s="223" t="str">
        <f aca="false">IF(ISERROR(A741),"",12 - MONTH(B740))</f>
        <v/>
      </c>
      <c r="J740" s="224" t="n">
        <f aca="false">K740</f>
        <v>1</v>
      </c>
      <c r="K740" s="225" t="n">
        <f aca="false">_xlfn.IFNA(IF(B740&gt;=$K$11, 1,0),0)</f>
        <v>1</v>
      </c>
      <c r="L740" s="60" t="str">
        <f aca="false">IF(I740=0,1,"")</f>
        <v/>
      </c>
      <c r="P740" s="4"/>
      <c r="V740" s="71"/>
    </row>
    <row r="741" customFormat="false" ht="12.75" hidden="false" customHeight="true" outlineLevel="0" collapsed="false">
      <c r="A741" s="228" t="e">
        <f aca="false">IF(OR(G740="",G740&lt;=0,C740&gt;150),NA(),A740+1)</f>
        <v>#N/A</v>
      </c>
      <c r="B741" s="229" t="str">
        <f aca="false">IF(ISERROR(A741),"",IF($D$9="Annually",EDATE(B740,12),EDATE(B740,1)))</f>
        <v/>
      </c>
      <c r="C741" s="230" t="str">
        <f aca="false">IF(ISERROR(A741),"",C740+IF($D$9="Monthly",1/12,1))</f>
        <v/>
      </c>
      <c r="D741" s="231" t="n">
        <f aca="false">IF(L740&lt;&gt;1, IF(G740&lt;E740,0,D740),IF(L740=1,IFERROR(ROUND(IF($G740 - (E740 * 6) &lt; 0, D740, ($G740 - (E740 * 6)) * $D$8 / 12),2),0) ) )</f>
        <v>0</v>
      </c>
      <c r="E741" s="231" t="n">
        <f aca="false">IF(ISERROR(A741), 0,  MAX(0,   MIN(    ROUND(G740 + D741, 2),    ROUND(FV($S$5, IF(type=1, A741, A740), , IF(J741&lt;&gt;1, -$D$20, -$P$16 + P741), 2), 0)   )  ) )</f>
        <v>0</v>
      </c>
      <c r="F741" s="231" t="n">
        <f aca="false">IF(J741&lt;&gt;1, "", IF(J740&lt;&gt;0, F740, $K$12))</f>
        <v>1</v>
      </c>
      <c r="G741" s="232" t="str">
        <f aca="false">IF(ISERROR(A741),"",ROUND(G740-E741+D741,2))</f>
        <v/>
      </c>
      <c r="H741" s="237" t="str">
        <f aca="false">IF(G741&gt;0,IFERROR(H740+(H740*($D$16/12)),""),"")</f>
        <v/>
      </c>
      <c r="I741" s="223" t="str">
        <f aca="false">IF(ISERROR(A742),"",12 - MONTH(B741))</f>
        <v/>
      </c>
      <c r="J741" s="224" t="n">
        <f aca="false">K741</f>
        <v>1</v>
      </c>
      <c r="K741" s="225" t="n">
        <f aca="false">_xlfn.IFNA(IF(B741&gt;=$K$11, 1,0),0)</f>
        <v>1</v>
      </c>
      <c r="L741" s="60" t="str">
        <f aca="false">IF(I741=0,1,"")</f>
        <v/>
      </c>
      <c r="P741" s="4"/>
      <c r="V741" s="71"/>
    </row>
    <row r="742" customFormat="false" ht="12.75" hidden="false" customHeight="true" outlineLevel="0" collapsed="false">
      <c r="A742" s="228" t="e">
        <f aca="false">IF(OR(G741="",G741&lt;=0,C741&gt;150),NA(),A741+1)</f>
        <v>#N/A</v>
      </c>
      <c r="B742" s="229" t="str">
        <f aca="false">IF(ISERROR(A742),"",IF($D$9="Annually",EDATE(B741,12),EDATE(B741,1)))</f>
        <v/>
      </c>
      <c r="C742" s="230" t="str">
        <f aca="false">IF(ISERROR(A742),"",C741+IF($D$9="Monthly",1/12,1))</f>
        <v/>
      </c>
      <c r="D742" s="231" t="n">
        <f aca="false">IF(L741&lt;&gt;1, IF(G741&lt;E741,0,D741),IF(L741=1,IFERROR(ROUND(IF($G741 - (E741 * 6) &lt; 0, D741, ($G741 - (E741 * 6)) * $D$8 / 12),2),0) ) )</f>
        <v>0</v>
      </c>
      <c r="E742" s="231" t="n">
        <f aca="false">IF(ISERROR(A742), 0,  MAX(0,   MIN(    ROUND(G741 + D742, 2),    ROUND(FV($S$5, IF(type=1, A742, A741), , IF(J742&lt;&gt;1, -$D$20, -$P$16 + P742), 2), 0)   )  ) )</f>
        <v>0</v>
      </c>
      <c r="F742" s="231" t="n">
        <f aca="false">IF(J742&lt;&gt;1, "", IF(J741&lt;&gt;0, F741, $K$12))</f>
        <v>1</v>
      </c>
      <c r="G742" s="232" t="str">
        <f aca="false">IF(ISERROR(A742),"",ROUND(G741-E742+D742,2))</f>
        <v/>
      </c>
      <c r="H742" s="237" t="str">
        <f aca="false">IF(G742&gt;0,IFERROR(H741+(H741*($D$16/12)),""),"")</f>
        <v/>
      </c>
      <c r="I742" s="223" t="str">
        <f aca="false">IF(ISERROR(A743),"",12 - MONTH(B742))</f>
        <v/>
      </c>
      <c r="J742" s="224" t="n">
        <f aca="false">K742</f>
        <v>1</v>
      </c>
      <c r="K742" s="225" t="n">
        <f aca="false">_xlfn.IFNA(IF(B742&gt;=$K$11, 1,0),0)</f>
        <v>1</v>
      </c>
      <c r="L742" s="60" t="str">
        <f aca="false">IF(I742=0,1,"")</f>
        <v/>
      </c>
      <c r="P742" s="4"/>
      <c r="V742" s="71"/>
    </row>
    <row r="743" customFormat="false" ht="12.75" hidden="false" customHeight="true" outlineLevel="0" collapsed="false">
      <c r="A743" s="228" t="e">
        <f aca="false">IF(OR(G742="",G742&lt;=0,C742&gt;150),NA(),A742+1)</f>
        <v>#N/A</v>
      </c>
      <c r="B743" s="229" t="str">
        <f aca="false">IF(ISERROR(A743),"",IF($D$9="Annually",EDATE(B742,12),EDATE(B742,1)))</f>
        <v/>
      </c>
      <c r="C743" s="230" t="str">
        <f aca="false">IF(ISERROR(A743),"",C742+IF($D$9="Monthly",1/12,1))</f>
        <v/>
      </c>
      <c r="D743" s="231" t="n">
        <f aca="false">IF(L742&lt;&gt;1, IF(G742&lt;E742,0,D742),IF(L742=1,IFERROR(ROUND(IF($G742 - (E742 * 6) &lt; 0, D742, ($G742 - (E742 * 6)) * $D$8 / 12),2),0) ) )</f>
        <v>0</v>
      </c>
      <c r="E743" s="231" t="n">
        <f aca="false">IF(ISERROR(A743), 0,  MAX(0,   MIN(    ROUND(G742 + D743, 2),    ROUND(FV($S$5, IF(type=1, A743, A742), , IF(J743&lt;&gt;1, -$D$20, -$P$16 + P743), 2), 0)   )  ) )</f>
        <v>0</v>
      </c>
      <c r="F743" s="231" t="n">
        <f aca="false">IF(J743&lt;&gt;1, "", IF(J742&lt;&gt;0, F742, $K$12))</f>
        <v>1</v>
      </c>
      <c r="G743" s="232" t="str">
        <f aca="false">IF(ISERROR(A743),"",ROUND(G742-E743+D743,2))</f>
        <v/>
      </c>
      <c r="H743" s="237" t="str">
        <f aca="false">IF(G743&gt;0,IFERROR(H742+(H742*($D$16/12)),""),"")</f>
        <v/>
      </c>
      <c r="I743" s="223" t="str">
        <f aca="false">IF(ISERROR(A744),"",12 - MONTH(B743))</f>
        <v/>
      </c>
      <c r="J743" s="224" t="n">
        <f aca="false">K743</f>
        <v>1</v>
      </c>
      <c r="K743" s="225" t="n">
        <f aca="false">_xlfn.IFNA(IF(B743&gt;=$K$11, 1,0),0)</f>
        <v>1</v>
      </c>
      <c r="L743" s="60" t="str">
        <f aca="false">IF(I743=0,1,"")</f>
        <v/>
      </c>
      <c r="P743" s="4"/>
      <c r="V743" s="71"/>
    </row>
    <row r="744" customFormat="false" ht="12.75" hidden="false" customHeight="true" outlineLevel="0" collapsed="false">
      <c r="A744" s="228" t="e">
        <f aca="false">IF(OR(G743="",G743&lt;=0,C743&gt;150),NA(),A743+1)</f>
        <v>#N/A</v>
      </c>
      <c r="B744" s="229" t="str">
        <f aca="false">IF(ISERROR(A744),"",IF($D$9="Annually",EDATE(B743,12),EDATE(B743,1)))</f>
        <v/>
      </c>
      <c r="C744" s="230" t="str">
        <f aca="false">IF(ISERROR(A744),"",C743+IF($D$9="Monthly",1/12,1))</f>
        <v/>
      </c>
      <c r="D744" s="231" t="n">
        <f aca="false">IF(L743&lt;&gt;1, IF(G743&lt;E743,0,D743),IF(L743=1,IFERROR(ROUND(IF($G743 - (E743 * 6) &lt; 0, D743, ($G743 - (E743 * 6)) * $D$8 / 12),2),0) ) )</f>
        <v>0</v>
      </c>
      <c r="E744" s="231" t="n">
        <f aca="false">IF(ISERROR(A744), 0,  MAX(0,   MIN(    ROUND(G743 + D744, 2),    ROUND(FV($S$5, IF(type=1, A744, A743), , IF(J744&lt;&gt;1, -$D$20, -$P$16 + P744), 2), 0)   )  ) )</f>
        <v>0</v>
      </c>
      <c r="F744" s="231" t="n">
        <f aca="false">IF(J744&lt;&gt;1, "", IF(J743&lt;&gt;0, F743, $K$12))</f>
        <v>1</v>
      </c>
      <c r="G744" s="232" t="str">
        <f aca="false">IF(ISERROR(A744),"",ROUND(G743-E744+D744,2))</f>
        <v/>
      </c>
      <c r="H744" s="237" t="str">
        <f aca="false">IF(G744&gt;0,IFERROR(H743+(H743*($D$16/12)),""),"")</f>
        <v/>
      </c>
      <c r="I744" s="223" t="str">
        <f aca="false">IF(ISERROR(A745),"",12 - MONTH(B744))</f>
        <v/>
      </c>
      <c r="J744" s="224" t="n">
        <f aca="false">K744</f>
        <v>1</v>
      </c>
      <c r="K744" s="225" t="n">
        <f aca="false">_xlfn.IFNA(IF(B744&gt;=$K$11, 1,0),0)</f>
        <v>1</v>
      </c>
      <c r="L744" s="60" t="str">
        <f aca="false">IF(I744=0,1,"")</f>
        <v/>
      </c>
      <c r="P744" s="4"/>
      <c r="V744" s="71"/>
    </row>
    <row r="745" customFormat="false" ht="12.75" hidden="false" customHeight="true" outlineLevel="0" collapsed="false">
      <c r="A745" s="228" t="e">
        <f aca="false">IF(OR(G744="",G744&lt;=0,C744&gt;150),NA(),A744+1)</f>
        <v>#N/A</v>
      </c>
      <c r="B745" s="229" t="str">
        <f aca="false">IF(ISERROR(A745),"",IF($D$9="Annually",EDATE(B744,12),EDATE(B744,1)))</f>
        <v/>
      </c>
      <c r="C745" s="230" t="str">
        <f aca="false">IF(ISERROR(A745),"",C744+IF($D$9="Monthly",1/12,1))</f>
        <v/>
      </c>
      <c r="D745" s="231" t="n">
        <f aca="false">IF(L744&lt;&gt;1, IF(G744&lt;E744,0,D744),IF(L744=1,IFERROR(ROUND(IF($G744 - (E744 * 6) &lt; 0, D744, ($G744 - (E744 * 6)) * $D$8 / 12),2),0) ) )</f>
        <v>0</v>
      </c>
      <c r="E745" s="231" t="n">
        <f aca="false">IF(ISERROR(A745), 0,  MAX(0,   MIN(    ROUND(G744 + D745, 2),    ROUND(FV($S$5, IF(type=1, A745, A744), , IF(J745&lt;&gt;1, -$D$20, -$P$16 + P745), 2), 0)   )  ) )</f>
        <v>0</v>
      </c>
      <c r="F745" s="231" t="n">
        <f aca="false">IF(J745&lt;&gt;1, "", IF(J744&lt;&gt;0, F744, $K$12))</f>
        <v>1</v>
      </c>
      <c r="G745" s="232" t="str">
        <f aca="false">IF(ISERROR(A745),"",ROUND(G744-E745+D745,2))</f>
        <v/>
      </c>
      <c r="H745" s="237" t="str">
        <f aca="false">IF(G745&gt;0,IFERROR(H744+(H744*($D$16/12)),""),"")</f>
        <v/>
      </c>
      <c r="I745" s="223" t="str">
        <f aca="false">IF(ISERROR(A746),"",12 - MONTH(B745))</f>
        <v/>
      </c>
      <c r="J745" s="224" t="n">
        <f aca="false">K745</f>
        <v>1</v>
      </c>
      <c r="K745" s="225" t="n">
        <f aca="false">_xlfn.IFNA(IF(B745&gt;=$K$11, 1,0),0)</f>
        <v>1</v>
      </c>
      <c r="L745" s="60" t="str">
        <f aca="false">IF(I745=0,1,"")</f>
        <v/>
      </c>
      <c r="P745" s="4"/>
      <c r="V745" s="71"/>
    </row>
    <row r="746" customFormat="false" ht="12.75" hidden="false" customHeight="true" outlineLevel="0" collapsed="false">
      <c r="A746" s="228" t="e">
        <f aca="false">IF(OR(G745="",G745&lt;=0,C745&gt;150),NA(),A745+1)</f>
        <v>#N/A</v>
      </c>
      <c r="B746" s="229" t="str">
        <f aca="false">IF(ISERROR(A746),"",IF($D$9="Annually",EDATE(B745,12),EDATE(B745,1)))</f>
        <v/>
      </c>
      <c r="C746" s="230" t="str">
        <f aca="false">IF(ISERROR(A746),"",C745+IF($D$9="Monthly",1/12,1))</f>
        <v/>
      </c>
      <c r="D746" s="231" t="n">
        <f aca="false">IF(L745&lt;&gt;1, IF(G745&lt;E745,0,D745),IF(L745=1,IFERROR(ROUND(IF($G745 - (E745 * 6) &lt; 0, D745, ($G745 - (E745 * 6)) * $D$8 / 12),2),0) ) )</f>
        <v>0</v>
      </c>
      <c r="E746" s="231" t="n">
        <f aca="false">IF(ISERROR(A746), 0,  MAX(0,   MIN(    ROUND(G745 + D746, 2),    ROUND(FV($S$5, IF(type=1, A746, A745), , IF(J746&lt;&gt;1, -$D$20, -$P$16 + P746), 2), 0)   )  ) )</f>
        <v>0</v>
      </c>
      <c r="F746" s="231" t="n">
        <f aca="false">IF(J746&lt;&gt;1, "", IF(J745&lt;&gt;0, F745, $K$12))</f>
        <v>1</v>
      </c>
      <c r="G746" s="232" t="str">
        <f aca="false">IF(ISERROR(A746),"",ROUND(G745-E746+D746,2))</f>
        <v/>
      </c>
      <c r="H746" s="237" t="str">
        <f aca="false">IF(G746&gt;0,IFERROR(H745+(H745*($D$16/12)),""),"")</f>
        <v/>
      </c>
      <c r="I746" s="223" t="str">
        <f aca="false">IF(ISERROR(A747),"",12 - MONTH(B746))</f>
        <v/>
      </c>
      <c r="J746" s="224" t="n">
        <f aca="false">K746</f>
        <v>1</v>
      </c>
      <c r="K746" s="225" t="n">
        <f aca="false">_xlfn.IFNA(IF(B746&gt;=$K$11, 1,0),0)</f>
        <v>1</v>
      </c>
      <c r="L746" s="60" t="str">
        <f aca="false">IF(I746=0,1,"")</f>
        <v/>
      </c>
      <c r="P746" s="4"/>
      <c r="V746" s="71"/>
    </row>
    <row r="747" customFormat="false" ht="12.75" hidden="false" customHeight="true" outlineLevel="0" collapsed="false">
      <c r="A747" s="228" t="e">
        <f aca="false">IF(OR(G746="",G746&lt;=0,C746&gt;150),NA(),A746+1)</f>
        <v>#N/A</v>
      </c>
      <c r="B747" s="229" t="str">
        <f aca="false">IF(ISERROR(A747),"",IF($D$9="Annually",EDATE(B746,12),EDATE(B746,1)))</f>
        <v/>
      </c>
      <c r="C747" s="230" t="str">
        <f aca="false">IF(ISERROR(A747),"",C746+IF($D$9="Monthly",1/12,1))</f>
        <v/>
      </c>
      <c r="D747" s="231" t="n">
        <f aca="false">IF(L746&lt;&gt;1, IF(G746&lt;E746,0,D746),IF(L746=1,IFERROR(ROUND(IF($G746 - (E746 * 6) &lt; 0, D746, ($G746 - (E746 * 6)) * $D$8 / 12),2),0) ) )</f>
        <v>0</v>
      </c>
      <c r="E747" s="231" t="n">
        <f aca="false">IF(ISERROR(A747), 0,  MAX(0,   MIN(    ROUND(G746 + D747, 2),    ROUND(FV($S$5, IF(type=1, A747, A746), , IF(J747&lt;&gt;1, -$D$20, -$P$16 + P747), 2), 0)   )  ) )</f>
        <v>0</v>
      </c>
      <c r="F747" s="231" t="n">
        <f aca="false">IF(J747&lt;&gt;1, "", IF(J746&lt;&gt;0, F746, $K$12))</f>
        <v>1</v>
      </c>
      <c r="G747" s="232" t="str">
        <f aca="false">IF(ISERROR(A747),"",ROUND(G746-E747+D747,2))</f>
        <v/>
      </c>
      <c r="H747" s="237" t="str">
        <f aca="false">IF(G747&gt;0,IFERROR(H746+(H746*($D$16/12)),""),"")</f>
        <v/>
      </c>
      <c r="I747" s="223" t="str">
        <f aca="false">IF(ISERROR(A748),"",12 - MONTH(B747))</f>
        <v/>
      </c>
      <c r="J747" s="224" t="n">
        <f aca="false">K747</f>
        <v>1</v>
      </c>
      <c r="K747" s="225" t="n">
        <f aca="false">_xlfn.IFNA(IF(B747&gt;=$K$11, 1,0),0)</f>
        <v>1</v>
      </c>
      <c r="L747" s="60" t="str">
        <f aca="false">IF(I747=0,1,"")</f>
        <v/>
      </c>
      <c r="P747" s="4"/>
      <c r="V747" s="71"/>
    </row>
    <row r="748" customFormat="false" ht="15" hidden="false" customHeight="true" outlineLevel="0" collapsed="false">
      <c r="A748" s="228" t="e">
        <f aca="false">IF(OR(G747="",G747&lt;=0,C747&gt;150),NA(),A747+1)</f>
        <v>#N/A</v>
      </c>
      <c r="B748" s="229" t="str">
        <f aca="false">IF(ISERROR(A748),"",IF($D$9="Annually",EDATE(B747,12),EDATE(B747,1)))</f>
        <v/>
      </c>
      <c r="C748" s="230" t="str">
        <f aca="false">IF(ISERROR(A748),"",C747+IF($D$9="Monthly",1/12,1))</f>
        <v/>
      </c>
      <c r="D748" s="231" t="n">
        <f aca="false">IF(L747&lt;&gt;1, IF(G747&lt;E747,0,D747),IF(L747=1,IFERROR(ROUND(IF($G747 - (E747 * 6) &lt; 0, D747, ($G747 - (E747 * 6)) * $D$8 / 12),2),0) ) )</f>
        <v>0</v>
      </c>
      <c r="E748" s="231" t="n">
        <f aca="false">IF(ISERROR(A748), 0,  MAX(0,   MIN(    ROUND(G747 + D748, 2),    ROUND(FV($S$5, IF(type=1, A748, A747), , IF(J748&lt;&gt;1, -$D$20, -$P$16 + P748), 2), 0)   )  ) )</f>
        <v>0</v>
      </c>
      <c r="F748" s="231" t="n">
        <f aca="false">IF(J748&lt;&gt;1, "", IF(J747&lt;&gt;0, F747, $K$12))</f>
        <v>1</v>
      </c>
      <c r="G748" s="232" t="str">
        <f aca="false">IF(ISERROR(A748),"",ROUND(G747-E748+D748,2))</f>
        <v/>
      </c>
      <c r="H748" s="237" t="str">
        <f aca="false">IF(G748&gt;0,IFERROR(H747+(H747*($D$16/12)),""),"")</f>
        <v/>
      </c>
      <c r="I748" s="223" t="e">
        <f aca="false">IF(ISERROR(A749),"",12 - MONTH(B748))</f>
        <v>#VALUE!</v>
      </c>
      <c r="J748" s="224" t="n">
        <f aca="false">K748</f>
        <v>1</v>
      </c>
      <c r="K748" s="225" t="n">
        <f aca="false">_xlfn.IFNA(IF(B748&gt;=$K$11, 1,0),0)</f>
        <v>1</v>
      </c>
      <c r="L748" s="60" t="e">
        <f aca="false">IF(I748=0,1,"")</f>
        <v>#VALUE!</v>
      </c>
      <c r="P748" s="4"/>
      <c r="V748" s="71"/>
    </row>
    <row r="749" customFormat="false" ht="15" hidden="false" customHeight="true" outlineLevel="0" collapsed="false">
      <c r="A749" s="288"/>
      <c r="B749" s="288"/>
      <c r="C749" s="288"/>
      <c r="D749" s="289"/>
      <c r="E749" s="289"/>
      <c r="H749" s="71"/>
    </row>
    <row r="750" customFormat="false" ht="15" hidden="false" customHeight="true" outlineLevel="0" collapsed="false">
      <c r="H750" s="71"/>
    </row>
    <row r="751" customFormat="false" ht="15" hidden="false" customHeight="true" outlineLevel="0" collapsed="false">
      <c r="H751" s="71"/>
    </row>
    <row r="752" customFormat="false" ht="15" hidden="false" customHeight="true" outlineLevel="0" collapsed="false">
      <c r="H752" s="71"/>
    </row>
    <row r="753" customFormat="false" ht="15" hidden="false" customHeight="true" outlineLevel="0" collapsed="false">
      <c r="H753" s="71"/>
    </row>
    <row r="754" customFormat="false" ht="15" hidden="false" customHeight="true" outlineLevel="0" collapsed="false">
      <c r="H754" s="71"/>
    </row>
    <row r="755" customFormat="false" ht="15" hidden="false" customHeight="true" outlineLevel="0" collapsed="false">
      <c r="H755" s="71"/>
    </row>
    <row r="756" customFormat="false" ht="15" hidden="false" customHeight="true" outlineLevel="0" collapsed="false">
      <c r="H756" s="71"/>
    </row>
    <row r="757" customFormat="false" ht="15" hidden="false" customHeight="true" outlineLevel="0" collapsed="false">
      <c r="H757" s="71"/>
    </row>
    <row r="758" customFormat="false" ht="15" hidden="false" customHeight="true" outlineLevel="0" collapsed="false">
      <c r="H758" s="71"/>
    </row>
    <row r="759" customFormat="false" ht="15" hidden="false" customHeight="true" outlineLevel="0" collapsed="false">
      <c r="H759" s="71"/>
    </row>
    <row r="760" customFormat="false" ht="15" hidden="false" customHeight="true" outlineLevel="0" collapsed="false">
      <c r="H760" s="71"/>
    </row>
    <row r="761" customFormat="false" ht="15" hidden="false" customHeight="true" outlineLevel="0" collapsed="false">
      <c r="H761" s="71"/>
    </row>
    <row r="762" customFormat="false" ht="15" hidden="false" customHeight="true" outlineLevel="0" collapsed="false">
      <c r="H762" s="71"/>
    </row>
    <row r="763" customFormat="false" ht="15" hidden="false" customHeight="true" outlineLevel="0" collapsed="false">
      <c r="H763" s="71"/>
    </row>
    <row r="764" customFormat="false" ht="15" hidden="false" customHeight="true" outlineLevel="0" collapsed="false">
      <c r="H764" s="71"/>
    </row>
    <row r="765" customFormat="false" ht="15" hidden="false" customHeight="true" outlineLevel="0" collapsed="false">
      <c r="H765" s="71"/>
    </row>
    <row r="766" customFormat="false" ht="15" hidden="false" customHeight="true" outlineLevel="0" collapsed="false">
      <c r="H766" s="71"/>
    </row>
    <row r="767" customFormat="false" ht="15" hidden="false" customHeight="true" outlineLevel="0" collapsed="false">
      <c r="H767" s="71"/>
    </row>
    <row r="768" customFormat="false" ht="15" hidden="false" customHeight="true" outlineLevel="0" collapsed="false">
      <c r="H768" s="71"/>
    </row>
    <row r="769" customFormat="false" ht="15" hidden="false" customHeight="true" outlineLevel="0" collapsed="false">
      <c r="H769" s="71"/>
    </row>
    <row r="770" customFormat="false" ht="15" hidden="false" customHeight="true" outlineLevel="0" collapsed="false">
      <c r="H770" s="71"/>
    </row>
    <row r="771" customFormat="false" ht="15" hidden="false" customHeight="true" outlineLevel="0" collapsed="false">
      <c r="H771" s="71"/>
    </row>
    <row r="772" customFormat="false" ht="15" hidden="false" customHeight="true" outlineLevel="0" collapsed="false">
      <c r="H772" s="71"/>
    </row>
    <row r="773" customFormat="false" ht="15" hidden="false" customHeight="true" outlineLevel="0" collapsed="false">
      <c r="H773" s="71"/>
    </row>
    <row r="774" customFormat="false" ht="15" hidden="false" customHeight="true" outlineLevel="0" collapsed="false">
      <c r="H774" s="71"/>
    </row>
    <row r="775" customFormat="false" ht="15" hidden="false" customHeight="true" outlineLevel="0" collapsed="false">
      <c r="H775" s="71"/>
    </row>
    <row r="776" customFormat="false" ht="15" hidden="false" customHeight="true" outlineLevel="0" collapsed="false">
      <c r="H776" s="71"/>
    </row>
    <row r="777" customFormat="false" ht="15" hidden="false" customHeight="true" outlineLevel="0" collapsed="false">
      <c r="H777" s="71"/>
    </row>
    <row r="778" customFormat="false" ht="15" hidden="false" customHeight="true" outlineLevel="0" collapsed="false">
      <c r="H778" s="71"/>
    </row>
    <row r="779" customFormat="false" ht="15" hidden="false" customHeight="true" outlineLevel="0" collapsed="false">
      <c r="H779" s="71"/>
    </row>
    <row r="780" customFormat="false" ht="15" hidden="false" customHeight="true" outlineLevel="0" collapsed="false">
      <c r="H780" s="71"/>
    </row>
    <row r="781" customFormat="false" ht="15" hidden="false" customHeight="true" outlineLevel="0" collapsed="false">
      <c r="H781" s="71"/>
    </row>
    <row r="782" customFormat="false" ht="15" hidden="false" customHeight="true" outlineLevel="0" collapsed="false">
      <c r="H782" s="71"/>
    </row>
    <row r="783" customFormat="false" ht="15" hidden="false" customHeight="true" outlineLevel="0" collapsed="false">
      <c r="H783" s="71"/>
    </row>
    <row r="784" customFormat="false" ht="15" hidden="false" customHeight="true" outlineLevel="0" collapsed="false">
      <c r="H784" s="71"/>
    </row>
    <row r="785" customFormat="false" ht="15" hidden="false" customHeight="true" outlineLevel="0" collapsed="false">
      <c r="H785" s="71"/>
    </row>
    <row r="786" customFormat="false" ht="15" hidden="false" customHeight="true" outlineLevel="0" collapsed="false">
      <c r="H786" s="71"/>
    </row>
    <row r="787" customFormat="false" ht="15" hidden="false" customHeight="true" outlineLevel="0" collapsed="false">
      <c r="H787" s="71"/>
    </row>
    <row r="788" customFormat="false" ht="15" hidden="false" customHeight="true" outlineLevel="0" collapsed="false">
      <c r="H788" s="71"/>
    </row>
    <row r="789" customFormat="false" ht="15" hidden="false" customHeight="true" outlineLevel="0" collapsed="false">
      <c r="H789" s="71"/>
    </row>
    <row r="790" customFormat="false" ht="15" hidden="false" customHeight="true" outlineLevel="0" collapsed="false">
      <c r="H790" s="71"/>
    </row>
    <row r="791" customFormat="false" ht="15" hidden="false" customHeight="true" outlineLevel="0" collapsed="false">
      <c r="H791" s="71"/>
    </row>
    <row r="792" customFormat="false" ht="15" hidden="false" customHeight="true" outlineLevel="0" collapsed="false">
      <c r="H792" s="71"/>
    </row>
    <row r="793" customFormat="false" ht="15" hidden="false" customHeight="true" outlineLevel="0" collapsed="false">
      <c r="H793" s="71"/>
    </row>
    <row r="794" customFormat="false" ht="15" hidden="false" customHeight="true" outlineLevel="0" collapsed="false">
      <c r="H794" s="71"/>
    </row>
    <row r="795" customFormat="false" ht="15" hidden="false" customHeight="true" outlineLevel="0" collapsed="false">
      <c r="H795" s="71"/>
    </row>
    <row r="796" customFormat="false" ht="15" hidden="false" customHeight="true" outlineLevel="0" collapsed="false">
      <c r="H796" s="71"/>
    </row>
    <row r="797" customFormat="false" ht="15" hidden="false" customHeight="true" outlineLevel="0" collapsed="false">
      <c r="H797" s="71"/>
    </row>
    <row r="798" customFormat="false" ht="15" hidden="false" customHeight="true" outlineLevel="0" collapsed="false">
      <c r="H798" s="71"/>
    </row>
    <row r="799" customFormat="false" ht="15" hidden="false" customHeight="true" outlineLevel="0" collapsed="false">
      <c r="H799" s="71"/>
    </row>
    <row r="800" customFormat="false" ht="15" hidden="false" customHeight="true" outlineLevel="0" collapsed="false">
      <c r="H800" s="71"/>
    </row>
    <row r="801" customFormat="false" ht="15" hidden="false" customHeight="true" outlineLevel="0" collapsed="false">
      <c r="H801" s="71"/>
    </row>
    <row r="802" customFormat="false" ht="15" hidden="false" customHeight="true" outlineLevel="0" collapsed="false">
      <c r="H802" s="71"/>
    </row>
    <row r="803" customFormat="false" ht="15" hidden="false" customHeight="true" outlineLevel="0" collapsed="false">
      <c r="H803" s="71"/>
    </row>
    <row r="804" customFormat="false" ht="15" hidden="false" customHeight="true" outlineLevel="0" collapsed="false">
      <c r="H804" s="71"/>
    </row>
    <row r="805" customFormat="false" ht="15" hidden="false" customHeight="true" outlineLevel="0" collapsed="false">
      <c r="H805" s="71"/>
    </row>
    <row r="806" customFormat="false" ht="15" hidden="false" customHeight="true" outlineLevel="0" collapsed="false">
      <c r="H806" s="71"/>
    </row>
    <row r="807" customFormat="false" ht="15" hidden="false" customHeight="true" outlineLevel="0" collapsed="false">
      <c r="H807" s="71"/>
    </row>
    <row r="808" customFormat="false" ht="15" hidden="false" customHeight="true" outlineLevel="0" collapsed="false">
      <c r="H808" s="71"/>
    </row>
    <row r="809" customFormat="false" ht="15" hidden="false" customHeight="true" outlineLevel="0" collapsed="false">
      <c r="H809" s="71"/>
    </row>
    <row r="810" customFormat="false" ht="15" hidden="false" customHeight="true" outlineLevel="0" collapsed="false">
      <c r="H810" s="71"/>
    </row>
    <row r="811" customFormat="false" ht="15" hidden="false" customHeight="true" outlineLevel="0" collapsed="false">
      <c r="H811" s="71"/>
    </row>
    <row r="812" customFormat="false" ht="15" hidden="false" customHeight="true" outlineLevel="0" collapsed="false">
      <c r="H812" s="71"/>
    </row>
    <row r="813" customFormat="false" ht="15" hidden="false" customHeight="true" outlineLevel="0" collapsed="false">
      <c r="H813" s="71"/>
    </row>
    <row r="814" customFormat="false" ht="15" hidden="false" customHeight="true" outlineLevel="0" collapsed="false">
      <c r="H814" s="71"/>
    </row>
    <row r="815" customFormat="false" ht="15" hidden="false" customHeight="true" outlineLevel="0" collapsed="false">
      <c r="H815" s="71"/>
    </row>
    <row r="816" customFormat="false" ht="15" hidden="false" customHeight="true" outlineLevel="0" collapsed="false">
      <c r="H816" s="71"/>
    </row>
    <row r="817" customFormat="false" ht="15" hidden="false" customHeight="true" outlineLevel="0" collapsed="false">
      <c r="H817" s="71"/>
    </row>
    <row r="818" customFormat="false" ht="15" hidden="false" customHeight="true" outlineLevel="0" collapsed="false">
      <c r="H818" s="71"/>
    </row>
    <row r="819" customFormat="false" ht="15" hidden="false" customHeight="true" outlineLevel="0" collapsed="false">
      <c r="H819" s="71"/>
    </row>
    <row r="820" customFormat="false" ht="15" hidden="false" customHeight="true" outlineLevel="0" collapsed="false">
      <c r="H820" s="71"/>
    </row>
    <row r="821" customFormat="false" ht="15" hidden="false" customHeight="true" outlineLevel="0" collapsed="false">
      <c r="H821" s="71"/>
    </row>
    <row r="822" customFormat="false" ht="15" hidden="false" customHeight="true" outlineLevel="0" collapsed="false">
      <c r="H822" s="71"/>
    </row>
    <row r="823" customFormat="false" ht="15" hidden="false" customHeight="true" outlineLevel="0" collapsed="false">
      <c r="H823" s="71"/>
    </row>
    <row r="824" customFormat="false" ht="15" hidden="false" customHeight="true" outlineLevel="0" collapsed="false">
      <c r="H824" s="71"/>
    </row>
    <row r="825" customFormat="false" ht="15" hidden="false" customHeight="true" outlineLevel="0" collapsed="false">
      <c r="H825" s="71"/>
    </row>
    <row r="826" customFormat="false" ht="15" hidden="false" customHeight="true" outlineLevel="0" collapsed="false">
      <c r="H826" s="71"/>
    </row>
    <row r="827" customFormat="false" ht="15" hidden="false" customHeight="true" outlineLevel="0" collapsed="false">
      <c r="H827" s="71"/>
    </row>
    <row r="828" customFormat="false" ht="15" hidden="false" customHeight="true" outlineLevel="0" collapsed="false">
      <c r="H828" s="71"/>
    </row>
    <row r="829" customFormat="false" ht="15" hidden="false" customHeight="true" outlineLevel="0" collapsed="false">
      <c r="H829" s="71"/>
    </row>
    <row r="830" customFormat="false" ht="15" hidden="false" customHeight="true" outlineLevel="0" collapsed="false">
      <c r="H830" s="71"/>
    </row>
    <row r="831" customFormat="false" ht="15" hidden="false" customHeight="true" outlineLevel="0" collapsed="false">
      <c r="H831" s="71"/>
    </row>
    <row r="832" customFormat="false" ht="15" hidden="false" customHeight="true" outlineLevel="0" collapsed="false">
      <c r="H832" s="71"/>
    </row>
    <row r="833" customFormat="false" ht="15" hidden="false" customHeight="true" outlineLevel="0" collapsed="false">
      <c r="H833" s="71"/>
    </row>
    <row r="834" customFormat="false" ht="15" hidden="false" customHeight="true" outlineLevel="0" collapsed="false">
      <c r="H834" s="71"/>
    </row>
    <row r="835" customFormat="false" ht="15" hidden="false" customHeight="true" outlineLevel="0" collapsed="false">
      <c r="H835" s="71"/>
    </row>
    <row r="836" customFormat="false" ht="15" hidden="false" customHeight="true" outlineLevel="0" collapsed="false">
      <c r="H836" s="71"/>
    </row>
    <row r="837" customFormat="false" ht="15" hidden="false" customHeight="true" outlineLevel="0" collapsed="false">
      <c r="H837" s="71"/>
    </row>
    <row r="838" customFormat="false" ht="15" hidden="false" customHeight="true" outlineLevel="0" collapsed="false">
      <c r="H838" s="71"/>
    </row>
    <row r="839" customFormat="false" ht="15" hidden="false" customHeight="true" outlineLevel="0" collapsed="false">
      <c r="H839" s="71"/>
    </row>
    <row r="840" customFormat="false" ht="15" hidden="false" customHeight="true" outlineLevel="0" collapsed="false">
      <c r="H840" s="71"/>
    </row>
    <row r="841" customFormat="false" ht="15" hidden="false" customHeight="true" outlineLevel="0" collapsed="false">
      <c r="H841" s="71"/>
    </row>
    <row r="842" customFormat="false" ht="15" hidden="false" customHeight="true" outlineLevel="0" collapsed="false">
      <c r="H842" s="71"/>
    </row>
    <row r="843" customFormat="false" ht="15" hidden="false" customHeight="true" outlineLevel="0" collapsed="false">
      <c r="H843" s="71"/>
    </row>
    <row r="844" customFormat="false" ht="15" hidden="false" customHeight="true" outlineLevel="0" collapsed="false">
      <c r="H844" s="71"/>
    </row>
    <row r="845" customFormat="false" ht="15" hidden="false" customHeight="true" outlineLevel="0" collapsed="false">
      <c r="H845" s="71"/>
    </row>
    <row r="846" customFormat="false" ht="15" hidden="false" customHeight="true" outlineLevel="0" collapsed="false">
      <c r="H846" s="71"/>
    </row>
    <row r="847" customFormat="false" ht="15" hidden="false" customHeight="true" outlineLevel="0" collapsed="false">
      <c r="H847" s="71"/>
    </row>
    <row r="848" customFormat="false" ht="15" hidden="false" customHeight="true" outlineLevel="0" collapsed="false">
      <c r="H848" s="71"/>
    </row>
    <row r="849" customFormat="false" ht="15" hidden="false" customHeight="true" outlineLevel="0" collapsed="false">
      <c r="H849" s="71"/>
    </row>
    <row r="850" customFormat="false" ht="15" hidden="false" customHeight="true" outlineLevel="0" collapsed="false">
      <c r="H850" s="71"/>
    </row>
    <row r="851" customFormat="false" ht="15" hidden="false" customHeight="true" outlineLevel="0" collapsed="false">
      <c r="H851" s="71"/>
    </row>
    <row r="852" customFormat="false" ht="15" hidden="false" customHeight="true" outlineLevel="0" collapsed="false">
      <c r="H852" s="71"/>
    </row>
    <row r="853" customFormat="false" ht="15" hidden="false" customHeight="true" outlineLevel="0" collapsed="false">
      <c r="H853" s="71"/>
    </row>
    <row r="854" customFormat="false" ht="15" hidden="false" customHeight="true" outlineLevel="0" collapsed="false">
      <c r="H854" s="71"/>
    </row>
    <row r="855" customFormat="false" ht="15" hidden="false" customHeight="true" outlineLevel="0" collapsed="false">
      <c r="H855" s="71"/>
    </row>
    <row r="856" customFormat="false" ht="15" hidden="false" customHeight="true" outlineLevel="0" collapsed="false">
      <c r="H856" s="71"/>
    </row>
    <row r="857" customFormat="false" ht="15" hidden="false" customHeight="true" outlineLevel="0" collapsed="false">
      <c r="H857" s="71"/>
    </row>
    <row r="858" customFormat="false" ht="15" hidden="false" customHeight="true" outlineLevel="0" collapsed="false">
      <c r="H858" s="71"/>
    </row>
    <row r="859" customFormat="false" ht="15" hidden="false" customHeight="true" outlineLevel="0" collapsed="false">
      <c r="H859" s="71"/>
    </row>
    <row r="860" customFormat="false" ht="15" hidden="false" customHeight="true" outlineLevel="0" collapsed="false">
      <c r="H860" s="71"/>
    </row>
    <row r="861" customFormat="false" ht="15" hidden="false" customHeight="true" outlineLevel="0" collapsed="false">
      <c r="H861" s="71"/>
    </row>
    <row r="862" customFormat="false" ht="15" hidden="false" customHeight="true" outlineLevel="0" collapsed="false">
      <c r="H862" s="71"/>
    </row>
    <row r="863" customFormat="false" ht="15" hidden="false" customHeight="true" outlineLevel="0" collapsed="false">
      <c r="H863" s="71"/>
    </row>
    <row r="864" customFormat="false" ht="15" hidden="false" customHeight="true" outlineLevel="0" collapsed="false">
      <c r="H864" s="71"/>
    </row>
    <row r="865" customFormat="false" ht="15" hidden="false" customHeight="true" outlineLevel="0" collapsed="false">
      <c r="H865" s="71"/>
    </row>
    <row r="866" customFormat="false" ht="15" hidden="false" customHeight="true" outlineLevel="0" collapsed="false">
      <c r="H866" s="71"/>
    </row>
    <row r="867" customFormat="false" ht="15" hidden="false" customHeight="true" outlineLevel="0" collapsed="false">
      <c r="H867" s="71"/>
    </row>
    <row r="868" customFormat="false" ht="15" hidden="false" customHeight="true" outlineLevel="0" collapsed="false">
      <c r="H868" s="71"/>
    </row>
    <row r="869" customFormat="false" ht="15" hidden="false" customHeight="true" outlineLevel="0" collapsed="false">
      <c r="H869" s="71"/>
    </row>
    <row r="870" customFormat="false" ht="15" hidden="false" customHeight="true" outlineLevel="0" collapsed="false">
      <c r="H870" s="71"/>
    </row>
    <row r="871" customFormat="false" ht="15" hidden="false" customHeight="true" outlineLevel="0" collapsed="false">
      <c r="H871" s="71"/>
    </row>
    <row r="872" customFormat="false" ht="15" hidden="false" customHeight="true" outlineLevel="0" collapsed="false">
      <c r="H872" s="71"/>
    </row>
    <row r="873" customFormat="false" ht="15" hidden="false" customHeight="true" outlineLevel="0" collapsed="false">
      <c r="H873" s="71"/>
    </row>
    <row r="874" customFormat="false" ht="15" hidden="false" customHeight="true" outlineLevel="0" collapsed="false">
      <c r="H874" s="71"/>
    </row>
    <row r="875" customFormat="false" ht="15" hidden="false" customHeight="true" outlineLevel="0" collapsed="false">
      <c r="H875" s="71"/>
    </row>
    <row r="876" customFormat="false" ht="15" hidden="false" customHeight="true" outlineLevel="0" collapsed="false">
      <c r="H876" s="71"/>
    </row>
    <row r="877" customFormat="false" ht="15" hidden="false" customHeight="true" outlineLevel="0" collapsed="false">
      <c r="H877" s="71"/>
    </row>
    <row r="878" customFormat="false" ht="15" hidden="false" customHeight="true" outlineLevel="0" collapsed="false">
      <c r="H878" s="71"/>
    </row>
    <row r="879" customFormat="false" ht="15" hidden="false" customHeight="true" outlineLevel="0" collapsed="false">
      <c r="H879" s="71"/>
    </row>
    <row r="880" customFormat="false" ht="15" hidden="false" customHeight="true" outlineLevel="0" collapsed="false">
      <c r="H880" s="71"/>
    </row>
    <row r="881" customFormat="false" ht="15" hidden="false" customHeight="true" outlineLevel="0" collapsed="false">
      <c r="H881" s="71"/>
    </row>
    <row r="882" customFormat="false" ht="15" hidden="false" customHeight="true" outlineLevel="0" collapsed="false">
      <c r="H882" s="71"/>
    </row>
    <row r="883" customFormat="false" ht="15" hidden="false" customHeight="true" outlineLevel="0" collapsed="false">
      <c r="H883" s="71"/>
    </row>
    <row r="884" customFormat="false" ht="15" hidden="false" customHeight="true" outlineLevel="0" collapsed="false">
      <c r="H884" s="71"/>
    </row>
    <row r="885" customFormat="false" ht="15" hidden="false" customHeight="true" outlineLevel="0" collapsed="false">
      <c r="H885" s="71"/>
    </row>
    <row r="886" customFormat="false" ht="15" hidden="false" customHeight="true" outlineLevel="0" collapsed="false">
      <c r="H886" s="71"/>
    </row>
    <row r="887" customFormat="false" ht="15" hidden="false" customHeight="true" outlineLevel="0" collapsed="false">
      <c r="H887" s="71"/>
    </row>
    <row r="888" customFormat="false" ht="15" hidden="false" customHeight="true" outlineLevel="0" collapsed="false">
      <c r="H888" s="71"/>
    </row>
    <row r="889" customFormat="false" ht="15" hidden="false" customHeight="true" outlineLevel="0" collapsed="false">
      <c r="H889" s="71"/>
    </row>
    <row r="890" customFormat="false" ht="15" hidden="false" customHeight="true" outlineLevel="0" collapsed="false">
      <c r="H890" s="71"/>
    </row>
    <row r="891" customFormat="false" ht="15" hidden="false" customHeight="true" outlineLevel="0" collapsed="false">
      <c r="H891" s="71"/>
    </row>
    <row r="892" customFormat="false" ht="15" hidden="false" customHeight="true" outlineLevel="0" collapsed="false">
      <c r="H892" s="71"/>
    </row>
  </sheetData>
  <mergeCells count="51">
    <mergeCell ref="A1:O1"/>
    <mergeCell ref="Q1:Q2"/>
    <mergeCell ref="Y1:Y4"/>
    <mergeCell ref="A2:O3"/>
    <mergeCell ref="A4:D4"/>
    <mergeCell ref="E4:H4"/>
    <mergeCell ref="I4:L4"/>
    <mergeCell ref="M4:O4"/>
    <mergeCell ref="T4:T23"/>
    <mergeCell ref="E5:G5"/>
    <mergeCell ref="I5:L10"/>
    <mergeCell ref="E6:G6"/>
    <mergeCell ref="E7:G7"/>
    <mergeCell ref="E8:G8"/>
    <mergeCell ref="F9:G9"/>
    <mergeCell ref="O9:O20"/>
    <mergeCell ref="F10:G10"/>
    <mergeCell ref="A11:C11"/>
    <mergeCell ref="F11:G11"/>
    <mergeCell ref="I11:J11"/>
    <mergeCell ref="A12:C12"/>
    <mergeCell ref="F12:G12"/>
    <mergeCell ref="I12:J12"/>
    <mergeCell ref="A13:C13"/>
    <mergeCell ref="F13:L17"/>
    <mergeCell ref="A16:C16"/>
    <mergeCell ref="A17:B17"/>
    <mergeCell ref="M18:N18"/>
    <mergeCell ref="M21:O22"/>
    <mergeCell ref="Q21:Q23"/>
    <mergeCell ref="M23:N24"/>
    <mergeCell ref="O23:O24"/>
    <mergeCell ref="Q24:Q25"/>
    <mergeCell ref="M25:N25"/>
    <mergeCell ref="A26:G26"/>
    <mergeCell ref="M26:N26"/>
    <mergeCell ref="J27:L27"/>
    <mergeCell ref="M27:N27"/>
    <mergeCell ref="M28:N28"/>
    <mergeCell ref="Q28:Q29"/>
    <mergeCell ref="M29:N29"/>
    <mergeCell ref="M30:O30"/>
    <mergeCell ref="M31:N31"/>
    <mergeCell ref="Q31:Q32"/>
    <mergeCell ref="M32:N32"/>
    <mergeCell ref="M33:N33"/>
    <mergeCell ref="Q33:Q34"/>
    <mergeCell ref="M34:N34"/>
    <mergeCell ref="O35:O36"/>
    <mergeCell ref="M50:O50"/>
    <mergeCell ref="M57:O57"/>
  </mergeCells>
  <conditionalFormatting sqref="A29:B748 D39:D748 E31:E748 C29:C202 C204:C748 C29:C203 E29:E748 F28">
    <cfRule type="expression" priority="2" aboveAverage="0" equalAverage="0" bottom="0" percent="0" rank="0" text="" dxfId="1">
      <formula>ISERROR($A28)</formula>
    </cfRule>
    <cfRule type="expression" priority="3" aboveAverage="0" equalAverage="0" bottom="0" percent="0" rank="0" text="" dxfId="2">
      <formula>MOD(ROW(),2)=1</formula>
    </cfRule>
  </conditionalFormatting>
  <conditionalFormatting sqref="D18 G4">
    <cfRule type="expression" priority="4" aboveAverage="0" equalAverage="0" bottom="0" percent="0" rank="0" text="" dxfId="3">
      <formula>NOT(ISERROR(SEARCH("Vertex42",#REF!)))</formula>
    </cfRule>
  </conditionalFormatting>
  <conditionalFormatting sqref="D30:D748">
    <cfRule type="expression" priority="5" aboveAverage="0" equalAverage="0" bottom="0" percent="0" rank="0" text="" dxfId="1">
      <formula>ISERROR($A29)</formula>
    </cfRule>
    <cfRule type="expression" priority="6" aboveAverage="0" equalAverage="0" bottom="0" percent="0" rank="0" text="" dxfId="2">
      <formula>MOD(ROW(),2)=1</formula>
    </cfRule>
    <cfRule type="expression" priority="7" aboveAverage="0" equalAverage="0" bottom="0" percent="0" rank="0" text="" dxfId="1">
      <formula>ISERROR($A29)</formula>
    </cfRule>
    <cfRule type="expression" priority="8" aboveAverage="0" equalAverage="0" bottom="0" percent="0" rank="0" text="" dxfId="2">
      <formula>MOD(ROW(),2)=1</formula>
    </cfRule>
  </conditionalFormatting>
  <conditionalFormatting sqref="Q27 Q31">
    <cfRule type="cellIs" priority="9" operator="lessThanOrEqual" aboveAverage="0" equalAverage="0" bottom="0" percent="0" rank="0" text="" dxfId="4">
      <formula>Worksheet!$Q$26</formula>
    </cfRule>
    <cfRule type="cellIs" priority="10" operator="greaterThan" aboveAverage="0" equalAverage="0" bottom="0" percent="0" rank="0" text="" dxfId="5">
      <formula>Worksheet!$Q$21</formula>
    </cfRule>
  </conditionalFormatting>
  <conditionalFormatting sqref="A1 Q26 Q30 O31 O32 O33 O34">
    <cfRule type="expression" priority="11" aboveAverage="0" equalAverage="0" bottom="0" percent="0" rank="0" text="" dxfId="6">
      <formula>TODAY() &gt;= $Y$5</formula>
    </cfRule>
  </conditionalFormatting>
  <conditionalFormatting sqref="N48">
    <cfRule type="cellIs" priority="12" operator="greaterThan" aboveAverage="0" equalAverage="0" bottom="0" percent="0" rank="0" text="" dxfId="7">
      <formula>0</formula>
    </cfRule>
  </conditionalFormatting>
  <conditionalFormatting sqref="N64:N67">
    <cfRule type="cellIs" priority="13" operator="greaterThan" aboveAverage="0" equalAverage="0" bottom="0" percent="0" rank="0" text="" dxfId="8">
      <formula>Worksheet!$Q$26</formula>
    </cfRule>
  </conditionalFormatting>
  <conditionalFormatting sqref="G4 J4 C4">
    <cfRule type="expression" priority="14" aboveAverage="0" equalAverage="0" bottom="0" percent="0" rank="0" text="" dxfId="3">
      <formula>NOT(ISERROR(SEARCH("Vertex42",C4)))</formula>
    </cfRule>
  </conditionalFormatting>
  <conditionalFormatting sqref="D30:D38 E30:E748">
    <cfRule type="expression" priority="15" aboveAverage="0" equalAverage="0" bottom="0" percent="0" rank="0" text="" dxfId="1">
      <formula>ISERROR($A30)</formula>
    </cfRule>
    <cfRule type="expression" priority="16" aboveAverage="0" equalAverage="0" bottom="0" percent="0" rank="0" text="" dxfId="2">
      <formula>MOD(ROW(),2)=1</formula>
    </cfRule>
    <cfRule type="expression" priority="17" aboveAverage="0" equalAverage="0" bottom="0" percent="0" rank="0" text="" dxfId="1">
      <formula>ISERROR($A30)</formula>
    </cfRule>
    <cfRule type="expression" priority="18" aboveAverage="0" equalAverage="0" bottom="0" percent="0" rank="0" text="" dxfId="2">
      <formula>MOD(ROW(),2)=1</formula>
    </cfRule>
  </conditionalFormatting>
  <conditionalFormatting sqref="D29:D38">
    <cfRule type="expression" priority="19" aboveAverage="0" equalAverage="0" bottom="0" percent="0" rank="0" text="" dxfId="1">
      <formula>ISERROR($A29)</formula>
    </cfRule>
    <cfRule type="expression" priority="20" aboveAverage="0" equalAverage="0" bottom="0" percent="0" rank="0" text="" dxfId="2">
      <formula>MOD(ROW(),2)=1</formula>
    </cfRule>
    <cfRule type="expression" priority="21" aboveAverage="0" equalAverage="0" bottom="0" percent="0" rank="0" text="" dxfId="1">
      <formula>ISERROR($A29)</formula>
    </cfRule>
    <cfRule type="expression" priority="22" aboveAverage="0" equalAverage="0" bottom="0" percent="0" rank="0" text="" dxfId="2">
      <formula>MOD(ROW(),2)=1</formula>
    </cfRule>
    <cfRule type="expression" priority="23" aboveAverage="0" equalAverage="0" bottom="0" percent="0" rank="0" text="" dxfId="1">
      <formula>ISERROR($A29)</formula>
    </cfRule>
    <cfRule type="expression" priority="24" aboveAverage="0" equalAverage="0" bottom="0" percent="0" rank="0" text="" dxfId="2">
      <formula>MOD(ROW(),2)=1</formula>
    </cfRule>
  </conditionalFormatting>
  <conditionalFormatting sqref="F29:F748 F29 F29">
    <cfRule type="expression" priority="25" aboveAverage="0" equalAverage="0" bottom="0" percent="0" rank="0" text="" dxfId="1">
      <formula>ISERROR($A30)</formula>
    </cfRule>
    <cfRule type="expression" priority="26" aboveAverage="0" equalAverage="0" bottom="0" percent="0" rank="0" text="" dxfId="2">
      <formula>MOD(ROW(),2)=1</formula>
    </cfRule>
    <cfRule type="expression" priority="27" aboveAverage="0" equalAverage="0" bottom="0" percent="0" rank="0" text="" dxfId="1">
      <formula>ISERROR($A30)</formula>
    </cfRule>
    <cfRule type="expression" priority="28" aboveAverage="0" equalAverage="0" bottom="0" percent="0" rank="0" text="" dxfId="2">
      <formula>MOD(ROW(),2)=1</formula>
    </cfRule>
    <cfRule type="expression" priority="29" aboveAverage="0" equalAverage="0" bottom="0" percent="0" rank="0" text="" dxfId="1">
      <formula>ISERROR($A30)</formula>
    </cfRule>
    <cfRule type="expression" priority="30" aboveAverage="0" equalAverage="0" bottom="0" percent="0" rank="0" text="" dxfId="2">
      <formula>MOD(ROW(),2)=1</formula>
    </cfRule>
    <cfRule type="expression" priority="31" aboveAverage="0" equalAverage="0" bottom="0" percent="0" rank="0" text="" dxfId="1">
      <formula>ISERROR($A30)</formula>
    </cfRule>
    <cfRule type="expression" priority="32" aboveAverage="0" equalAverage="0" bottom="0" percent="0" rank="0" text="" dxfId="2">
      <formula>MOD(ROW(),2)=1</formula>
    </cfRule>
    <cfRule type="expression" priority="33" aboveAverage="0" equalAverage="0" bottom="0" percent="0" rank="0" text="" dxfId="1">
      <formula>ISERROR($A30)</formula>
    </cfRule>
    <cfRule type="expression" priority="34" aboveAverage="0" equalAverage="0" bottom="0" percent="0" rank="0" text="" dxfId="2">
      <formula>MOD(ROW(),2)=1</formula>
    </cfRule>
    <cfRule type="expression" priority="35" aboveAverage="0" equalAverage="0" bottom="0" percent="0" rank="0" text="" dxfId="1">
      <formula>ISERROR($A30)</formula>
    </cfRule>
    <cfRule type="expression" priority="36" aboveAverage="0" equalAverage="0" bottom="0" percent="0" rank="0" text="" dxfId="2">
      <formula>MOD(ROW(),2)=1</formula>
    </cfRule>
    <cfRule type="expression" priority="37" aboveAverage="0" equalAverage="0" bottom="0" percent="0" rank="0" text="" dxfId="1">
      <formula>ISERROR($A30)</formula>
    </cfRule>
    <cfRule type="expression" priority="38" aboveAverage="0" equalAverage="0" bottom="0" percent="0" rank="0" text="" dxfId="2">
      <formula>MOD(ROW(),2)=1</formula>
    </cfRule>
    <cfRule type="expression" priority="39" aboveAverage="0" equalAverage="0" bottom="0" percent="0" rank="0" text="" dxfId="1">
      <formula>ISERROR($A30)</formula>
    </cfRule>
    <cfRule type="expression" priority="40" aboveAverage="0" equalAverage="0" bottom="0" percent="0" rank="0" text="" dxfId="2">
      <formula>MOD(ROW(),2)=1</formula>
    </cfRule>
    <cfRule type="expression" priority="41" aboveAverage="0" equalAverage="0" bottom="0" percent="0" rank="0" text="" dxfId="1">
      <formula>ISERROR($A30)</formula>
    </cfRule>
    <cfRule type="expression" priority="42" aboveAverage="0" equalAverage="0" bottom="0" percent="0" rank="0" text="" dxfId="2">
      <formula>MOD(ROW(),2)=1</formula>
    </cfRule>
    <cfRule type="expression" priority="43" aboveAverage="0" equalAverage="0" bottom="0" percent="0" rank="0" text="" dxfId="1">
      <formula>ISERROR($A30)</formula>
    </cfRule>
    <cfRule type="expression" priority="44" aboveAverage="0" equalAverage="0" bottom="0" percent="0" rank="0" text="" dxfId="2">
      <formula>MOD(ROW(),2)=1</formula>
    </cfRule>
    <cfRule type="expression" priority="45" aboveAverage="0" equalAverage="0" bottom="0" percent="0" rank="0" text="" dxfId="1">
      <formula>ISERROR($A30)</formula>
    </cfRule>
    <cfRule type="expression" priority="46" aboveAverage="0" equalAverage="0" bottom="0" percent="0" rank="0" text="" dxfId="2">
      <formula>MOD(ROW(),2)=1</formula>
    </cfRule>
    <cfRule type="expression" priority="47" aboveAverage="0" equalAverage="0" bottom="0" percent="0" rank="0" text="" dxfId="1">
      <formula>ISERROR($A30)</formula>
    </cfRule>
    <cfRule type="expression" priority="48" aboveAverage="0" equalAverage="0" bottom="0" percent="0" rank="0" text="" dxfId="2">
      <formula>MOD(ROW(),2)=1</formula>
    </cfRule>
    <cfRule type="expression" priority="49" aboveAverage="0" equalAverage="0" bottom="0" percent="0" rank="0" text="" dxfId="1">
      <formula>ISERROR($A30)</formula>
    </cfRule>
    <cfRule type="expression" priority="50" aboveAverage="0" equalAverage="0" bottom="0" percent="0" rank="0" text="" dxfId="2">
      <formula>MOD(ROW(),2)=1</formula>
    </cfRule>
    <cfRule type="expression" priority="51" aboveAverage="0" equalAverage="0" bottom="0" percent="0" rank="0" text="" dxfId="1">
      <formula>ISERROR($A30)</formula>
    </cfRule>
    <cfRule type="expression" priority="52" aboveAverage="0" equalAverage="0" bottom="0" percent="0" rank="0" text="" dxfId="2">
      <formula>MOD(ROW(),2)=1</formula>
    </cfRule>
    <cfRule type="expression" priority="53" aboveAverage="0" equalAverage="0" bottom="0" percent="0" rank="0" text="" dxfId="1">
      <formula>ISERROR($A30)</formula>
    </cfRule>
    <cfRule type="expression" priority="54" aboveAverage="0" equalAverage="0" bottom="0" percent="0" rank="0" text="" dxfId="2">
      <formula>MOD(ROW(),2)=1</formula>
    </cfRule>
    <cfRule type="expression" priority="55" aboveAverage="0" equalAverage="0" bottom="0" percent="0" rank="0" text="" dxfId="1">
      <formula>ISERROR($A30)</formula>
    </cfRule>
    <cfRule type="expression" priority="56" aboveAverage="0" equalAverage="0" bottom="0" percent="0" rank="0" text="" dxfId="2">
      <formula>MOD(ROW(),2)=1</formula>
    </cfRule>
    <cfRule type="expression" priority="57" aboveAverage="0" equalAverage="0" bottom="0" percent="0" rank="0" text="" dxfId="1">
      <formula>ISERROR($A30)</formula>
    </cfRule>
    <cfRule type="expression" priority="58" aboveAverage="0" equalAverage="0" bottom="0" percent="0" rank="0" text="" dxfId="2">
      <formula>MOD(ROW(),2)=1</formula>
    </cfRule>
    <cfRule type="expression" priority="59" aboveAverage="0" equalAverage="0" bottom="0" percent="0" rank="0" text="" dxfId="1">
      <formula>ISERROR($A30)</formula>
    </cfRule>
    <cfRule type="expression" priority="60" aboveAverage="0" equalAverage="0" bottom="0" percent="0" rank="0" text="" dxfId="2">
      <formula>MOD(ROW(),2)=1</formula>
    </cfRule>
    <cfRule type="expression" priority="61" aboveAverage="0" equalAverage="0" bottom="0" percent="0" rank="0" text="" dxfId="1">
      <formula>ISERROR($A30)</formula>
    </cfRule>
    <cfRule type="expression" priority="62" aboveAverage="0" equalAverage="0" bottom="0" percent="0" rank="0" text="" dxfId="2">
      <formula>MOD(ROW(),2)=1</formula>
    </cfRule>
    <cfRule type="expression" priority="63" aboveAverage="0" equalAverage="0" bottom="0" percent="0" rank="0" text="" dxfId="1">
      <formula>ISERROR($A30)</formula>
    </cfRule>
    <cfRule type="expression" priority="64" aboveAverage="0" equalAverage="0" bottom="0" percent="0" rank="0" text="" dxfId="2">
      <formula>MOD(ROW(),2)=1</formula>
    </cfRule>
    <cfRule type="expression" priority="65" aboveAverage="0" equalAverage="0" bottom="0" percent="0" rank="0" text="" dxfId="1">
      <formula>ISERROR($A30)</formula>
    </cfRule>
    <cfRule type="expression" priority="66" aboveAverage="0" equalAverage="0" bottom="0" percent="0" rank="0" text="" dxfId="2">
      <formula>MOD(ROW(),2)=1</formula>
    </cfRule>
    <cfRule type="expression" priority="67" aboveAverage="0" equalAverage="0" bottom="0" percent="0" rank="0" text="" dxfId="1">
      <formula>ISERROR($A30)</formula>
    </cfRule>
    <cfRule type="expression" priority="68" aboveAverage="0" equalAverage="0" bottom="0" percent="0" rank="0" text="" dxfId="2">
      <formula>MOD(ROW(),2)=1</formula>
    </cfRule>
    <cfRule type="expression" priority="69" aboveAverage="0" equalAverage="0" bottom="0" percent="0" rank="0" text="" dxfId="1">
      <formula>ISERROR($A30)</formula>
    </cfRule>
    <cfRule type="expression" priority="70" aboveAverage="0" equalAverage="0" bottom="0" percent="0" rank="0" text="" dxfId="2">
      <formula>MOD(ROW(),2)=1</formula>
    </cfRule>
    <cfRule type="expression" priority="71" aboveAverage="0" equalAverage="0" bottom="0" percent="0" rank="0" text="" dxfId="1">
      <formula>ISERROR($A30)</formula>
    </cfRule>
    <cfRule type="expression" priority="72" aboveAverage="0" equalAverage="0" bottom="0" percent="0" rank="0" text="" dxfId="2">
      <formula>MOD(ROW(),2)=1</formula>
    </cfRule>
    <cfRule type="expression" priority="73" aboveAverage="0" equalAverage="0" bottom="0" percent="0" rank="0" text="" dxfId="1">
      <formula>ISERROR($A30)</formula>
    </cfRule>
    <cfRule type="expression" priority="74" aboveAverage="0" equalAverage="0" bottom="0" percent="0" rank="0" text="" dxfId="2">
      <formula>MOD(ROW(),2)=1</formula>
    </cfRule>
    <cfRule type="expression" priority="75" aboveAverage="0" equalAverage="0" bottom="0" percent="0" rank="0" text="" dxfId="1">
      <formula>ISERROR($A30)</formula>
    </cfRule>
    <cfRule type="expression" priority="76" aboveAverage="0" equalAverage="0" bottom="0" percent="0" rank="0" text="" dxfId="2">
      <formula>MOD(ROW(),2)=1</formula>
    </cfRule>
    <cfRule type="expression" priority="77" aboveAverage="0" equalAverage="0" bottom="0" percent="0" rank="0" text="" dxfId="1">
      <formula>ISERROR($A30)</formula>
    </cfRule>
    <cfRule type="expression" priority="78" aboveAverage="0" equalAverage="0" bottom="0" percent="0" rank="0" text="" dxfId="2">
      <formula>MOD(ROW(),2)=1</formula>
    </cfRule>
    <cfRule type="expression" priority="79" aboveAverage="0" equalAverage="0" bottom="0" percent="0" rank="0" text="" dxfId="1">
      <formula>ISERROR($A30)</formula>
    </cfRule>
    <cfRule type="expression" priority="80" aboveAverage="0" equalAverage="0" bottom="0" percent="0" rank="0" text="" dxfId="2">
      <formula>MOD(ROW(),2)=1</formula>
    </cfRule>
    <cfRule type="expression" priority="81" aboveAverage="0" equalAverage="0" bottom="0" percent="0" rank="0" text="" dxfId="1">
      <formula>ISERROR($A30)</formula>
    </cfRule>
    <cfRule type="expression" priority="82" aboveAverage="0" equalAverage="0" bottom="0" percent="0" rank="0" text="" dxfId="2">
      <formula>MOD(ROW(),2)=1</formula>
    </cfRule>
    <cfRule type="expression" priority="83" aboveAverage="0" equalAverage="0" bottom="0" percent="0" rank="0" text="" dxfId="1">
      <formula>ISERROR($A30)</formula>
    </cfRule>
    <cfRule type="expression" priority="84" aboveAverage="0" equalAverage="0" bottom="0" percent="0" rank="0" text="" dxfId="2">
      <formula>MOD(ROW(),2)=1</formula>
    </cfRule>
    <cfRule type="expression" priority="85" aboveAverage="0" equalAverage="0" bottom="0" percent="0" rank="0" text="" dxfId="1">
      <formula>ISERROR($A30)</formula>
    </cfRule>
    <cfRule type="expression" priority="86" aboveAverage="0" equalAverage="0" bottom="0" percent="0" rank="0" text="" dxfId="2">
      <formula>MOD(ROW(),2)=1</formula>
    </cfRule>
    <cfRule type="expression" priority="87" aboveAverage="0" equalAverage="0" bottom="0" percent="0" rank="0" text="" dxfId="1">
      <formula>ISERROR($A30)</formula>
    </cfRule>
    <cfRule type="expression" priority="88" aboveAverage="0" equalAverage="0" bottom="0" percent="0" rank="0" text="" dxfId="2">
      <formula>MOD(ROW(),2)=1</formula>
    </cfRule>
    <cfRule type="expression" priority="89" aboveAverage="0" equalAverage="0" bottom="0" percent="0" rank="0" text="" dxfId="1">
      <formula>ISERROR($A30)</formula>
    </cfRule>
    <cfRule type="expression" priority="90" aboveAverage="0" equalAverage="0" bottom="0" percent="0" rank="0" text="" dxfId="2">
      <formula>MOD(ROW(),2)=1</formula>
    </cfRule>
    <cfRule type="expression" priority="91" aboveAverage="0" equalAverage="0" bottom="0" percent="0" rank="0" text="" dxfId="1">
      <formula>ISERROR($A30)</formula>
    </cfRule>
    <cfRule type="expression" priority="92" aboveAverage="0" equalAverage="0" bottom="0" percent="0" rank="0" text="" dxfId="2">
      <formula>MOD(ROW(),2)=1</formula>
    </cfRule>
    <cfRule type="expression" priority="93" aboveAverage="0" equalAverage="0" bottom="0" percent="0" rank="0" text="" dxfId="1">
      <formula>ISERROR($A30)</formula>
    </cfRule>
    <cfRule type="expression" priority="94" aboveAverage="0" equalAverage="0" bottom="0" percent="0" rank="0" text="" dxfId="2">
      <formula>MOD(ROW(),2)=1</formula>
    </cfRule>
    <cfRule type="expression" priority="95" aboveAverage="0" equalAverage="0" bottom="0" percent="0" rank="0" text="" dxfId="1">
      <formula>ISERROR($A30)</formula>
    </cfRule>
    <cfRule type="expression" priority="96" aboveAverage="0" equalAverage="0" bottom="0" percent="0" rank="0" text="" dxfId="2">
      <formula>MOD(ROW(),2)=1</formula>
    </cfRule>
    <cfRule type="expression" priority="97" aboveAverage="0" equalAverage="0" bottom="0" percent="0" rank="0" text="" dxfId="1">
      <formula>ISERROR($A30)</formula>
    </cfRule>
    <cfRule type="expression" priority="98" aboveAverage="0" equalAverage="0" bottom="0" percent="0" rank="0" text="" dxfId="2">
      <formula>MOD(ROW(),2)=1</formula>
    </cfRule>
    <cfRule type="expression" priority="99" aboveAverage="0" equalAverage="0" bottom="0" percent="0" rank="0" text="" dxfId="1">
      <formula>ISERROR($A30)</formula>
    </cfRule>
    <cfRule type="expression" priority="100" aboveAverage="0" equalAverage="0" bottom="0" percent="0" rank="0" text="" dxfId="2">
      <formula>MOD(ROW(),2)=1</formula>
    </cfRule>
    <cfRule type="expression" priority="101" aboveAverage="0" equalAverage="0" bottom="0" percent="0" rank="0" text="" dxfId="1">
      <formula>ISERROR($A30)</formula>
    </cfRule>
    <cfRule type="expression" priority="102" aboveAverage="0" equalAverage="0" bottom="0" percent="0" rank="0" text="" dxfId="2">
      <formula>MOD(ROW(),2)=1</formula>
    </cfRule>
    <cfRule type="expression" priority="103" aboveAverage="0" equalAverage="0" bottom="0" percent="0" rank="0" text="" dxfId="1">
      <formula>ISERROR($A30)</formula>
    </cfRule>
    <cfRule type="expression" priority="104" aboveAverage="0" equalAverage="0" bottom="0" percent="0" rank="0" text="" dxfId="2">
      <formula>MOD(ROW(),2)=1</formula>
    </cfRule>
    <cfRule type="expression" priority="105" aboveAverage="0" equalAverage="0" bottom="0" percent="0" rank="0" text="" dxfId="1">
      <formula>ISERROR($A30)</formula>
    </cfRule>
    <cfRule type="expression" priority="106" aboveAverage="0" equalAverage="0" bottom="0" percent="0" rank="0" text="" dxfId="2">
      <formula>MOD(ROW(),2)=1</formula>
    </cfRule>
    <cfRule type="expression" priority="107" aboveAverage="0" equalAverage="0" bottom="0" percent="0" rank="0" text="" dxfId="1">
      <formula>ISERROR($A30)</formula>
    </cfRule>
    <cfRule type="expression" priority="108" aboveAverage="0" equalAverage="0" bottom="0" percent="0" rank="0" text="" dxfId="2">
      <formula>MOD(ROW(),2)=1</formula>
    </cfRule>
    <cfRule type="expression" priority="109" aboveAverage="0" equalAverage="0" bottom="0" percent="0" rank="0" text="" dxfId="1">
      <formula>ISERROR($A30)</formula>
    </cfRule>
    <cfRule type="expression" priority="110" aboveAverage="0" equalAverage="0" bottom="0" percent="0" rank="0" text="" dxfId="2">
      <formula>MOD(ROW(),2)=1</formula>
    </cfRule>
    <cfRule type="expression" priority="111" aboveAverage="0" equalAverage="0" bottom="0" percent="0" rank="0" text="" dxfId="1">
      <formula>ISERROR($A30)</formula>
    </cfRule>
    <cfRule type="expression" priority="112" aboveAverage="0" equalAverage="0" bottom="0" percent="0" rank="0" text="" dxfId="2">
      <formula>MOD(ROW(),2)=1</formula>
    </cfRule>
    <cfRule type="expression" priority="113" aboveAverage="0" equalAverage="0" bottom="0" percent="0" rank="0" text="" dxfId="1">
      <formula>ISERROR($A30)</formula>
    </cfRule>
    <cfRule type="expression" priority="114" aboveAverage="0" equalAverage="0" bottom="0" percent="0" rank="0" text="" dxfId="2">
      <formula>MOD(ROW(),2)=1</formula>
    </cfRule>
    <cfRule type="expression" priority="115" aboveAverage="0" equalAverage="0" bottom="0" percent="0" rank="0" text="" dxfId="1">
      <formula>ISERROR($A30)</formula>
    </cfRule>
    <cfRule type="expression" priority="116" aboveAverage="0" equalAverage="0" bottom="0" percent="0" rank="0" text="" dxfId="2">
      <formula>MOD(ROW(),2)=1</formula>
    </cfRule>
    <cfRule type="expression" priority="117" aboveAverage="0" equalAverage="0" bottom="0" percent="0" rank="0" text="" dxfId="1">
      <formula>ISERROR($A30)</formula>
    </cfRule>
    <cfRule type="expression" priority="118" aboveAverage="0" equalAverage="0" bottom="0" percent="0" rank="0" text="" dxfId="2">
      <formula>MOD(ROW(),2)=1</formula>
    </cfRule>
    <cfRule type="expression" priority="119" aboveAverage="0" equalAverage="0" bottom="0" percent="0" rank="0" text="" dxfId="1">
      <formula>ISERROR($A30)</formula>
    </cfRule>
    <cfRule type="expression" priority="120" aboveAverage="0" equalAverage="0" bottom="0" percent="0" rank="0" text="" dxfId="2">
      <formula>MOD(ROW(),2)=1</formula>
    </cfRule>
    <cfRule type="expression" priority="121" aboveAverage="0" equalAverage="0" bottom="0" percent="0" rank="0" text="" dxfId="1">
      <formula>ISERROR($A30)</formula>
    </cfRule>
    <cfRule type="expression" priority="122" aboveAverage="0" equalAverage="0" bottom="0" percent="0" rank="0" text="" dxfId="2">
      <formula>MOD(ROW(),2)=1</formula>
    </cfRule>
    <cfRule type="expression" priority="123" aboveAverage="0" equalAverage="0" bottom="0" percent="0" rank="0" text="" dxfId="1">
      <formula>ISERROR($A30)</formula>
    </cfRule>
    <cfRule type="expression" priority="124" aboveAverage="0" equalAverage="0" bottom="0" percent="0" rank="0" text="" dxfId="2">
      <formula>MOD(ROW(),2)=1</formula>
    </cfRule>
    <cfRule type="expression" priority="125" aboveAverage="0" equalAverage="0" bottom="0" percent="0" rank="0" text="" dxfId="1">
      <formula>ISERROR($A30)</formula>
    </cfRule>
    <cfRule type="expression" priority="126" aboveAverage="0" equalAverage="0" bottom="0" percent="0" rank="0" text="" dxfId="2">
      <formula>MOD(ROW(),2)=1</formula>
    </cfRule>
    <cfRule type="expression" priority="127" aboveAverage="0" equalAverage="0" bottom="0" percent="0" rank="0" text="" dxfId="1">
      <formula>ISERROR($A30)</formula>
    </cfRule>
    <cfRule type="expression" priority="128" aboveAverage="0" equalAverage="0" bottom="0" percent="0" rank="0" text="" dxfId="2">
      <formula>MOD(ROW(),2)=1</formula>
    </cfRule>
    <cfRule type="expression" priority="129" aboveAverage="0" equalAverage="0" bottom="0" percent="0" rank="0" text="" dxfId="1">
      <formula>ISERROR($A30)</formula>
    </cfRule>
    <cfRule type="expression" priority="130" aboveAverage="0" equalAverage="0" bottom="0" percent="0" rank="0" text="" dxfId="2">
      <formula>MOD(ROW(),2)=1</formula>
    </cfRule>
    <cfRule type="expression" priority="131" aboveAverage="0" equalAverage="0" bottom="0" percent="0" rank="0" text="" dxfId="1">
      <formula>ISERROR($A30)</formula>
    </cfRule>
    <cfRule type="expression" priority="132" aboveAverage="0" equalAverage="0" bottom="0" percent="0" rank="0" text="" dxfId="2">
      <formula>MOD(ROW(),2)=1</formula>
    </cfRule>
    <cfRule type="expression" priority="133" aboveAverage="0" equalAverage="0" bottom="0" percent="0" rank="0" text="" dxfId="1">
      <formula>ISERROR($A30)</formula>
    </cfRule>
    <cfRule type="expression" priority="134" aboveAverage="0" equalAverage="0" bottom="0" percent="0" rank="0" text="" dxfId="2">
      <formula>MOD(ROW(),2)=1</formula>
    </cfRule>
    <cfRule type="expression" priority="135" aboveAverage="0" equalAverage="0" bottom="0" percent="0" rank="0" text="" dxfId="1">
      <formula>ISERROR($A30)</formula>
    </cfRule>
    <cfRule type="expression" priority="136" aboveAverage="0" equalAverage="0" bottom="0" percent="0" rank="0" text="" dxfId="2">
      <formula>MOD(ROW(),2)=1</formula>
    </cfRule>
    <cfRule type="expression" priority="137" aboveAverage="0" equalAverage="0" bottom="0" percent="0" rank="0" text="" dxfId="1">
      <formula>ISERROR($A30)</formula>
    </cfRule>
    <cfRule type="expression" priority="138" aboveAverage="0" equalAverage="0" bottom="0" percent="0" rank="0" text="" dxfId="2">
      <formula>MOD(ROW(),2)=1</formula>
    </cfRule>
    <cfRule type="expression" priority="139" aboveAverage="0" equalAverage="0" bottom="0" percent="0" rank="0" text="" dxfId="1">
      <formula>ISERROR($A30)</formula>
    </cfRule>
    <cfRule type="expression" priority="140" aboveAverage="0" equalAverage="0" bottom="0" percent="0" rank="0" text="" dxfId="2">
      <formula>MOD(ROW(),2)=1</formula>
    </cfRule>
    <cfRule type="expression" priority="141" aboveAverage="0" equalAverage="0" bottom="0" percent="0" rank="0" text="" dxfId="1">
      <formula>ISERROR($A30)</formula>
    </cfRule>
    <cfRule type="expression" priority="142" aboveAverage="0" equalAverage="0" bottom="0" percent="0" rank="0" text="" dxfId="2">
      <formula>MOD(ROW(),2)=1</formula>
    </cfRule>
    <cfRule type="expression" priority="143" aboveAverage="0" equalAverage="0" bottom="0" percent="0" rank="0" text="" dxfId="1">
      <formula>ISERROR($A30)</formula>
    </cfRule>
    <cfRule type="expression" priority="144" aboveAverage="0" equalAverage="0" bottom="0" percent="0" rank="0" text="" dxfId="2">
      <formula>MOD(ROW(),2)=1</formula>
    </cfRule>
    <cfRule type="expression" priority="145" aboveAverage="0" equalAverage="0" bottom="0" percent="0" rank="0" text="" dxfId="1">
      <formula>ISERROR($A30)</formula>
    </cfRule>
    <cfRule type="expression" priority="146" aboveAverage="0" equalAverage="0" bottom="0" percent="0" rank="0" text="" dxfId="2">
      <formula>MOD(ROW(),2)=1</formula>
    </cfRule>
    <cfRule type="expression" priority="147" aboveAverage="0" equalAverage="0" bottom="0" percent="0" rank="0" text="" dxfId="1">
      <formula>ISERROR($A29)</formula>
    </cfRule>
    <cfRule type="expression" priority="148" aboveAverage="0" equalAverage="0" bottom="0" percent="0" rank="0" text="" dxfId="2">
      <formula>MOD(ROW(),2)=1</formula>
    </cfRule>
    <cfRule type="expression" priority="149" aboveAverage="0" equalAverage="0" bottom="0" percent="0" rank="0" text="" dxfId="1">
      <formula>ISERROR($A29)</formula>
    </cfRule>
    <cfRule type="expression" priority="150" aboveAverage="0" equalAverage="0" bottom="0" percent="0" rank="0" text="" dxfId="2">
      <formula>MOD(ROW(),2)=1</formula>
    </cfRule>
    <cfRule type="expression" priority="151" aboveAverage="0" equalAverage="0" bottom="0" percent="0" rank="0" text="" dxfId="1">
      <formula>ISERROR($A29)</formula>
    </cfRule>
    <cfRule type="expression" priority="152" aboveAverage="0" equalAverage="0" bottom="0" percent="0" rank="0" text="" dxfId="2">
      <formula>MOD(ROW(),2)=1</formula>
    </cfRule>
    <cfRule type="expression" priority="153" aboveAverage="0" equalAverage="0" bottom="0" percent="0" rank="0" text="" dxfId="1">
      <formula>ISERROR($A29)</formula>
    </cfRule>
    <cfRule type="expression" priority="154" aboveAverage="0" equalAverage="0" bottom="0" percent="0" rank="0" text="" dxfId="2">
      <formula>MOD(ROW(),2)=1</formula>
    </cfRule>
    <cfRule type="expression" priority="155" aboveAverage="0" equalAverage="0" bottom="0" percent="0" rank="0" text="" dxfId="1">
      <formula>ISERROR($A29)</formula>
    </cfRule>
    <cfRule type="expression" priority="156" aboveAverage="0" equalAverage="0" bottom="0" percent="0" rank="0" text="" dxfId="2">
      <formula>MOD(ROW(),2)=1</formula>
    </cfRule>
    <cfRule type="expression" priority="157" aboveAverage="0" equalAverage="0" bottom="0" percent="0" rank="0" text="" dxfId="1">
      <formula>ISERROR($A29)</formula>
    </cfRule>
    <cfRule type="expression" priority="158" aboveAverage="0" equalAverage="0" bottom="0" percent="0" rank="0" text="" dxfId="2">
      <formula>MOD(ROW(),2)=1</formula>
    </cfRule>
    <cfRule type="expression" priority="159" aboveAverage="0" equalAverage="0" bottom="0" percent="0" rank="0" text="" dxfId="1">
      <formula>ISERROR($A29)</formula>
    </cfRule>
    <cfRule type="expression" priority="160" aboveAverage="0" equalAverage="0" bottom="0" percent="0" rank="0" text="" dxfId="2">
      <formula>MOD(ROW(),2)=1</formula>
    </cfRule>
    <cfRule type="expression" priority="161" aboveAverage="0" equalAverage="0" bottom="0" percent="0" rank="0" text="" dxfId="1">
      <formula>ISERROR($A29)</formula>
    </cfRule>
    <cfRule type="expression" priority="162" aboveAverage="0" equalAverage="0" bottom="0" percent="0" rank="0" text="" dxfId="2">
      <formula>MOD(ROW(),2)=1</formula>
    </cfRule>
    <cfRule type="expression" priority="163" aboveAverage="0" equalAverage="0" bottom="0" percent="0" rank="0" text="" dxfId="1">
      <formula>ISERROR($A29)</formula>
    </cfRule>
    <cfRule type="expression" priority="164" aboveAverage="0" equalAverage="0" bottom="0" percent="0" rank="0" text="" dxfId="2">
      <formula>MOD(ROW(),2)=1</formula>
    </cfRule>
    <cfRule type="expression" priority="165" aboveAverage="0" equalAverage="0" bottom="0" percent="0" rank="0" text="" dxfId="1">
      <formula>ISERROR($A29)</formula>
    </cfRule>
    <cfRule type="expression" priority="166" aboveAverage="0" equalAverage="0" bottom="0" percent="0" rank="0" text="" dxfId="2">
      <formula>MOD(ROW(),2)=1</formula>
    </cfRule>
    <cfRule type="expression" priority="167" aboveAverage="0" equalAverage="0" bottom="0" percent="0" rank="0" text="" dxfId="1">
      <formula>ISERROR($A29)</formula>
    </cfRule>
    <cfRule type="expression" priority="168" aboveAverage="0" equalAverage="0" bottom="0" percent="0" rank="0" text="" dxfId="2">
      <formula>MOD(ROW(),2)=1</formula>
    </cfRule>
    <cfRule type="expression" priority="169" aboveAverage="0" equalAverage="0" bottom="0" percent="0" rank="0" text="" dxfId="1">
      <formula>ISERROR($A29)</formula>
    </cfRule>
    <cfRule type="expression" priority="170" aboveAverage="0" equalAverage="0" bottom="0" percent="0" rank="0" text="" dxfId="2">
      <formula>MOD(ROW(),2)=1</formula>
    </cfRule>
    <cfRule type="expression" priority="171" aboveAverage="0" equalAverage="0" bottom="0" percent="0" rank="0" text="" dxfId="1">
      <formula>ISERROR($A29)</formula>
    </cfRule>
    <cfRule type="expression" priority="172" aboveAverage="0" equalAverage="0" bottom="0" percent="0" rank="0" text="" dxfId="2">
      <formula>MOD(ROW(),2)=1</formula>
    </cfRule>
    <cfRule type="expression" priority="173" aboveAverage="0" equalAverage="0" bottom="0" percent="0" rank="0" text="" dxfId="1">
      <formula>ISERROR($A29)</formula>
    </cfRule>
    <cfRule type="expression" priority="174" aboveAverage="0" equalAverage="0" bottom="0" percent="0" rank="0" text="" dxfId="2">
      <formula>MOD(ROW(),2)=1</formula>
    </cfRule>
    <cfRule type="expression" priority="175" aboveAverage="0" equalAverage="0" bottom="0" percent="0" rank="0" text="" dxfId="1">
      <formula>ISERROR($A29)</formula>
    </cfRule>
    <cfRule type="expression" priority="176" aboveAverage="0" equalAverage="0" bottom="0" percent="0" rank="0" text="" dxfId="2">
      <formula>MOD(ROW(),2)=1</formula>
    </cfRule>
    <cfRule type="expression" priority="177" aboveAverage="0" equalAverage="0" bottom="0" percent="0" rank="0" text="" dxfId="1">
      <formula>ISERROR($A29)</formula>
    </cfRule>
    <cfRule type="expression" priority="178" aboveAverage="0" equalAverage="0" bottom="0" percent="0" rank="0" text="" dxfId="2">
      <formula>MOD(ROW(),2)=1</formula>
    </cfRule>
    <cfRule type="expression" priority="179" aboveAverage="0" equalAverage="0" bottom="0" percent="0" rank="0" text="" dxfId="1">
      <formula>ISERROR($A29)</formula>
    </cfRule>
    <cfRule type="expression" priority="180" aboveAverage="0" equalAverage="0" bottom="0" percent="0" rank="0" text="" dxfId="2">
      <formula>MOD(ROW(),2)=1</formula>
    </cfRule>
    <cfRule type="expression" priority="181" aboveAverage="0" equalAverage="0" bottom="0" percent="0" rank="0" text="" dxfId="1">
      <formula>ISERROR($A29)</formula>
    </cfRule>
    <cfRule type="expression" priority="182" aboveAverage="0" equalAverage="0" bottom="0" percent="0" rank="0" text="" dxfId="2">
      <formula>MOD(ROW(),2)=1</formula>
    </cfRule>
    <cfRule type="expression" priority="183" aboveAverage="0" equalAverage="0" bottom="0" percent="0" rank="0" text="" dxfId="1">
      <formula>ISERROR($A29)</formula>
    </cfRule>
    <cfRule type="expression" priority="184" aboveAverage="0" equalAverage="0" bottom="0" percent="0" rank="0" text="" dxfId="2">
      <formula>MOD(ROW(),2)=1</formula>
    </cfRule>
    <cfRule type="expression" priority="185" aboveAverage="0" equalAverage="0" bottom="0" percent="0" rank="0" text="" dxfId="1">
      <formula>ISERROR($A29)</formula>
    </cfRule>
    <cfRule type="expression" priority="186" aboveAverage="0" equalAverage="0" bottom="0" percent="0" rank="0" text="" dxfId="2">
      <formula>MOD(ROW(),2)=1</formula>
    </cfRule>
  </conditionalFormatting>
  <conditionalFormatting sqref="G31:G748 G29">
    <cfRule type="expression" priority="187" aboveAverage="0" equalAverage="0" bottom="0" percent="0" rank="0" text="" dxfId="1">
      <formula>ISERROR($A29)</formula>
    </cfRule>
    <cfRule type="expression" priority="188" aboveAverage="0" equalAverage="0" bottom="0" percent="0" rank="0" text="" dxfId="2">
      <formula>MOD(ROW(),2)=1</formula>
    </cfRule>
    <cfRule type="expression" priority="189" aboveAverage="0" equalAverage="0" bottom="0" percent="0" rank="0" text="" dxfId="1">
      <formula>ISERROR($A29)</formula>
    </cfRule>
    <cfRule type="expression" priority="190" aboveAverage="0" equalAverage="0" bottom="0" percent="0" rank="0" text="" dxfId="2">
      <formula>MOD(ROW(),2)=1</formula>
    </cfRule>
    <cfRule type="expression" priority="191" aboveAverage="0" equalAverage="0" bottom="0" percent="0" rank="0" text="" dxfId="1">
      <formula>ISERROR($A29)</formula>
    </cfRule>
    <cfRule type="expression" priority="192" aboveAverage="0" equalAverage="0" bottom="0" percent="0" rank="0" text="" dxfId="2">
      <formula>MOD(ROW(),2)=1</formula>
    </cfRule>
    <cfRule type="expression" priority="193" aboveAverage="0" equalAverage="0" bottom="0" percent="0" rank="0" text="" dxfId="1">
      <formula>ISERROR($A29)</formula>
    </cfRule>
    <cfRule type="expression" priority="194" aboveAverage="0" equalAverage="0" bottom="0" percent="0" rank="0" text="" dxfId="2">
      <formula>MOD(ROW(),2)=1</formula>
    </cfRule>
    <cfRule type="expression" priority="195" aboveAverage="0" equalAverage="0" bottom="0" percent="0" rank="0" text="" dxfId="1">
      <formula>ISERROR($A29)</formula>
    </cfRule>
    <cfRule type="expression" priority="196" aboveAverage="0" equalAverage="0" bottom="0" percent="0" rank="0" text="" dxfId="2">
      <formula>MOD(ROW(),2)=1</formula>
    </cfRule>
    <cfRule type="expression" priority="197" aboveAverage="0" equalAverage="0" bottom="0" percent="0" rank="0" text="" dxfId="1">
      <formula>ISERROR($A29)</formula>
    </cfRule>
    <cfRule type="expression" priority="198" aboveAverage="0" equalAverage="0" bottom="0" percent="0" rank="0" text="" dxfId="2">
      <formula>MOD(ROW(),2)=1</formula>
    </cfRule>
    <cfRule type="expression" priority="199" aboveAverage="0" equalAverage="0" bottom="0" percent="0" rank="0" text="" dxfId="1">
      <formula>ISERROR($A29)</formula>
    </cfRule>
    <cfRule type="expression" priority="200" aboveAverage="0" equalAverage="0" bottom="0" percent="0" rank="0" text="" dxfId="2">
      <formula>MOD(ROW(),2)=1</formula>
    </cfRule>
    <cfRule type="expression" priority="201" aboveAverage="0" equalAverage="0" bottom="0" percent="0" rank="0" text="" dxfId="1">
      <formula>ISERROR($A29)</formula>
    </cfRule>
    <cfRule type="expression" priority="202" aboveAverage="0" equalAverage="0" bottom="0" percent="0" rank="0" text="" dxfId="2">
      <formula>MOD(ROW(),2)=1</formula>
    </cfRule>
    <cfRule type="expression" priority="203" aboveAverage="0" equalAverage="0" bottom="0" percent="0" rank="0" text="" dxfId="1">
      <formula>ISERROR($A29)</formula>
    </cfRule>
    <cfRule type="expression" priority="204" aboveAverage="0" equalAverage="0" bottom="0" percent="0" rank="0" text="" dxfId="2">
      <formula>MOD(ROW(),2)=1</formula>
    </cfRule>
    <cfRule type="expression" priority="205" aboveAverage="0" equalAverage="0" bottom="0" percent="0" rank="0" text="" dxfId="1">
      <formula>ISERROR($A29)</formula>
    </cfRule>
    <cfRule type="expression" priority="206" aboveAverage="0" equalAverage="0" bottom="0" percent="0" rank="0" text="" dxfId="2">
      <formula>MOD(ROW(),2)=1</formula>
    </cfRule>
    <cfRule type="expression" priority="207" aboveAverage="0" equalAverage="0" bottom="0" percent="0" rank="0" text="" dxfId="1">
      <formula>ISERROR($A29)</formula>
    </cfRule>
    <cfRule type="expression" priority="208" aboveAverage="0" equalAverage="0" bottom="0" percent="0" rank="0" text="" dxfId="2">
      <formula>MOD(ROW(),2)=1</formula>
    </cfRule>
    <cfRule type="expression" priority="209" aboveAverage="0" equalAverage="0" bottom="0" percent="0" rank="0" text="" dxfId="1">
      <formula>ISERROR($A29)</formula>
    </cfRule>
    <cfRule type="expression" priority="210" aboveAverage="0" equalAverage="0" bottom="0" percent="0" rank="0" text="" dxfId="2">
      <formula>MOD(ROW(),2)=1</formula>
    </cfRule>
    <cfRule type="expression" priority="211" aboveAverage="0" equalAverage="0" bottom="0" percent="0" rank="0" text="" dxfId="1">
      <formula>ISERROR($A29)</formula>
    </cfRule>
    <cfRule type="expression" priority="212" aboveAverage="0" equalAverage="0" bottom="0" percent="0" rank="0" text="" dxfId="2">
      <formula>MOD(ROW(),2)=1</formula>
    </cfRule>
    <cfRule type="expression" priority="213" aboveAverage="0" equalAverage="0" bottom="0" percent="0" rank="0" text="" dxfId="1">
      <formula>ISERROR($A29)</formula>
    </cfRule>
    <cfRule type="expression" priority="214" aboveAverage="0" equalAverage="0" bottom="0" percent="0" rank="0" text="" dxfId="2">
      <formula>MOD(ROW(),2)=1</formula>
    </cfRule>
    <cfRule type="expression" priority="215" aboveAverage="0" equalAverage="0" bottom="0" percent="0" rank="0" text="" dxfId="1">
      <formula>ISERROR($A29)</formula>
    </cfRule>
    <cfRule type="expression" priority="216" aboveAverage="0" equalAverage="0" bottom="0" percent="0" rank="0" text="" dxfId="2">
      <formula>MOD(ROW(),2)=1</formula>
    </cfRule>
    <cfRule type="expression" priority="217" aboveAverage="0" equalAverage="0" bottom="0" percent="0" rank="0" text="" dxfId="1">
      <formula>ISERROR($A29)</formula>
    </cfRule>
    <cfRule type="expression" priority="218" aboveAverage="0" equalAverage="0" bottom="0" percent="0" rank="0" text="" dxfId="2">
      <formula>MOD(ROW(),2)=1</formula>
    </cfRule>
    <cfRule type="expression" priority="219" aboveAverage="0" equalAverage="0" bottom="0" percent="0" rank="0" text="" dxfId="1">
      <formula>ISERROR($A29)</formula>
    </cfRule>
    <cfRule type="expression" priority="220" aboveAverage="0" equalAverage="0" bottom="0" percent="0" rank="0" text="" dxfId="2">
      <formula>MOD(ROW(),2)=1</formula>
    </cfRule>
  </conditionalFormatting>
  <conditionalFormatting sqref="G30:G748 G30 G30">
    <cfRule type="expression" priority="221" aboveAverage="0" equalAverage="0" bottom="0" percent="0" rank="0" text="" dxfId="1">
      <formula>ISERROR($A30)</formula>
    </cfRule>
    <cfRule type="expression" priority="222" aboveAverage="0" equalAverage="0" bottom="0" percent="0" rank="0" text="" dxfId="2">
      <formula>MOD(ROW(),2)=1</formula>
    </cfRule>
    <cfRule type="expression" priority="223" aboveAverage="0" equalAverage="0" bottom="0" percent="0" rank="0" text="" dxfId="1">
      <formula>ISERROR($A30)</formula>
    </cfRule>
    <cfRule type="expression" priority="224" aboveAverage="0" equalAverage="0" bottom="0" percent="0" rank="0" text="" dxfId="2">
      <formula>MOD(ROW(),2)=1</formula>
    </cfRule>
    <cfRule type="expression" priority="225" aboveAverage="0" equalAverage="0" bottom="0" percent="0" rank="0" text="" dxfId="1">
      <formula>ISERROR($A30)</formula>
    </cfRule>
    <cfRule type="expression" priority="226" aboveAverage="0" equalAverage="0" bottom="0" percent="0" rank="0" text="" dxfId="2">
      <formula>MOD(ROW(),2)=1</formula>
    </cfRule>
    <cfRule type="expression" priority="227" aboveAverage="0" equalAverage="0" bottom="0" percent="0" rank="0" text="" dxfId="1">
      <formula>ISERROR($A30)</formula>
    </cfRule>
    <cfRule type="expression" priority="228" aboveAverage="0" equalAverage="0" bottom="0" percent="0" rank="0" text="" dxfId="2">
      <formula>MOD(ROW(),2)=1</formula>
    </cfRule>
    <cfRule type="expression" priority="229" aboveAverage="0" equalAverage="0" bottom="0" percent="0" rank="0" text="" dxfId="1">
      <formula>ISERROR($A30)</formula>
    </cfRule>
    <cfRule type="expression" priority="230" aboveAverage="0" equalAverage="0" bottom="0" percent="0" rank="0" text="" dxfId="2">
      <formula>MOD(ROW(),2)=1</formula>
    </cfRule>
    <cfRule type="expression" priority="231" aboveAverage="0" equalAverage="0" bottom="0" percent="0" rank="0" text="" dxfId="1">
      <formula>ISERROR($A30)</formula>
    </cfRule>
    <cfRule type="expression" priority="232" aboveAverage="0" equalAverage="0" bottom="0" percent="0" rank="0" text="" dxfId="2">
      <formula>MOD(ROW(),2)=1</formula>
    </cfRule>
    <cfRule type="expression" priority="233" aboveAverage="0" equalAverage="0" bottom="0" percent="0" rank="0" text="" dxfId="1">
      <formula>ISERROR($A30)</formula>
    </cfRule>
    <cfRule type="expression" priority="234" aboveAverage="0" equalAverage="0" bottom="0" percent="0" rank="0" text="" dxfId="2">
      <formula>MOD(ROW(),2)=1</formula>
    </cfRule>
    <cfRule type="expression" priority="235" aboveAverage="0" equalAverage="0" bottom="0" percent="0" rank="0" text="" dxfId="1">
      <formula>ISERROR($A30)</formula>
    </cfRule>
    <cfRule type="expression" priority="236" aboveAverage="0" equalAverage="0" bottom="0" percent="0" rank="0" text="" dxfId="2">
      <formula>MOD(ROW(),2)=1</formula>
    </cfRule>
    <cfRule type="expression" priority="237" aboveAverage="0" equalAverage="0" bottom="0" percent="0" rank="0" text="" dxfId="1">
      <formula>ISERROR($A30)</formula>
    </cfRule>
    <cfRule type="expression" priority="238" aboveAverage="0" equalAverage="0" bottom="0" percent="0" rank="0" text="" dxfId="2">
      <formula>MOD(ROW(),2)=1</formula>
    </cfRule>
    <cfRule type="expression" priority="239" aboveAverage="0" equalAverage="0" bottom="0" percent="0" rank="0" text="" dxfId="1">
      <formula>ISERROR($A30)</formula>
    </cfRule>
    <cfRule type="expression" priority="240" aboveAverage="0" equalAverage="0" bottom="0" percent="0" rank="0" text="" dxfId="2">
      <formula>MOD(ROW(),2)=1</formula>
    </cfRule>
    <cfRule type="expression" priority="241" aboveAverage="0" equalAverage="0" bottom="0" percent="0" rank="0" text="" dxfId="1">
      <formula>ISERROR($A30)</formula>
    </cfRule>
    <cfRule type="expression" priority="242" aboveAverage="0" equalAverage="0" bottom="0" percent="0" rank="0" text="" dxfId="2">
      <formula>MOD(ROW(),2)=1</formula>
    </cfRule>
    <cfRule type="expression" priority="243" aboveAverage="0" equalAverage="0" bottom="0" percent="0" rank="0" text="" dxfId="1">
      <formula>ISERROR($A30)</formula>
    </cfRule>
    <cfRule type="expression" priority="244" aboveAverage="0" equalAverage="0" bottom="0" percent="0" rank="0" text="" dxfId="2">
      <formula>MOD(ROW(),2)=1</formula>
    </cfRule>
    <cfRule type="expression" priority="245" aboveAverage="0" equalAverage="0" bottom="0" percent="0" rank="0" text="" dxfId="1">
      <formula>ISERROR($A30)</formula>
    </cfRule>
    <cfRule type="expression" priority="246" aboveAverage="0" equalAverage="0" bottom="0" percent="0" rank="0" text="" dxfId="2">
      <formula>MOD(ROW(),2)=1</formula>
    </cfRule>
    <cfRule type="expression" priority="247" aboveAverage="0" equalAverage="0" bottom="0" percent="0" rank="0" text="" dxfId="1">
      <formula>ISERROR($A30)</formula>
    </cfRule>
    <cfRule type="expression" priority="248" aboveAverage="0" equalAverage="0" bottom="0" percent="0" rank="0" text="" dxfId="2">
      <formula>MOD(ROW(),2)=1</formula>
    </cfRule>
    <cfRule type="expression" priority="249" aboveAverage="0" equalAverage="0" bottom="0" percent="0" rank="0" text="" dxfId="1">
      <formula>ISERROR($A30)</formula>
    </cfRule>
    <cfRule type="expression" priority="250" aboveAverage="0" equalAverage="0" bottom="0" percent="0" rank="0" text="" dxfId="2">
      <formula>MOD(ROW(),2)=1</formula>
    </cfRule>
    <cfRule type="expression" priority="251" aboveAverage="0" equalAverage="0" bottom="0" percent="0" rank="0" text="" dxfId="1">
      <formula>ISERROR($A30)</formula>
    </cfRule>
    <cfRule type="expression" priority="252" aboveAverage="0" equalAverage="0" bottom="0" percent="0" rank="0" text="" dxfId="2">
      <formula>MOD(ROW(),2)=1</formula>
    </cfRule>
    <cfRule type="expression" priority="253" aboveAverage="0" equalAverage="0" bottom="0" percent="0" rank="0" text="" dxfId="1">
      <formula>ISERROR($A30)</formula>
    </cfRule>
    <cfRule type="expression" priority="254" aboveAverage="0" equalAverage="0" bottom="0" percent="0" rank="0" text="" dxfId="2">
      <formula>MOD(ROW(),2)=1</formula>
    </cfRule>
    <cfRule type="expression" priority="255" aboveAverage="0" equalAverage="0" bottom="0" percent="0" rank="0" text="" dxfId="1">
      <formula>ISERROR($A30)</formula>
    </cfRule>
    <cfRule type="expression" priority="256" aboveAverage="0" equalAverage="0" bottom="0" percent="0" rank="0" text="" dxfId="2">
      <formula>MOD(ROW(),2)=1</formula>
    </cfRule>
    <cfRule type="expression" priority="257" aboveAverage="0" equalAverage="0" bottom="0" percent="0" rank="0" text="" dxfId="1">
      <formula>ISERROR($A30)</formula>
    </cfRule>
    <cfRule type="expression" priority="258" aboveAverage="0" equalAverage="0" bottom="0" percent="0" rank="0" text="" dxfId="2">
      <formula>MOD(ROW(),2)=1</formula>
    </cfRule>
    <cfRule type="expression" priority="259" aboveAverage="0" equalAverage="0" bottom="0" percent="0" rank="0" text="" dxfId="1">
      <formula>ISERROR($A30)</formula>
    </cfRule>
    <cfRule type="expression" priority="260" aboveAverage="0" equalAverage="0" bottom="0" percent="0" rank="0" text="" dxfId="2">
      <formula>MOD(ROW(),2)=1</formula>
    </cfRule>
    <cfRule type="expression" priority="261" aboveAverage="0" equalAverage="0" bottom="0" percent="0" rank="0" text="" dxfId="1">
      <formula>ISERROR($A30)</formula>
    </cfRule>
    <cfRule type="expression" priority="262" aboveAverage="0" equalAverage="0" bottom="0" percent="0" rank="0" text="" dxfId="2">
      <formula>MOD(ROW(),2)=1</formula>
    </cfRule>
  </conditionalFormatting>
  <conditionalFormatting sqref="K11">
    <cfRule type="cellIs" priority="263" operator="lessThan" aboveAverage="0" equalAverage="0" bottom="0" percent="0" rank="0" text="" dxfId="9">
      <formula>Worksheet!$D$7</formula>
    </cfRule>
  </conditionalFormatting>
  <conditionalFormatting sqref="I5">
    <cfRule type="expression" priority="264" aboveAverage="0" equalAverage="0" bottom="0" percent="0" rank="0" text="" dxfId="10">
      <formula>Worksheet!$K$11&lt;Worksheet!$D$7</formula>
    </cfRule>
    <cfRule type="expression" priority="265" aboveAverage="0" equalAverage="0" bottom="0" percent="0" rank="0" text="" dxfId="11">
      <formula>Worksheet!$K$11&lt;Worksheet!$D$7</formula>
    </cfRule>
  </conditionalFormatting>
  <dataValidations count="6">
    <dataValidation allowBlank="true" errorStyle="stop" operator="equal" showDropDown="false" showErrorMessage="true" showInputMessage="false" sqref="Z1 D10" type="none">
      <formula1>0</formula1>
      <formula2>0</formula2>
    </dataValidation>
    <dataValidation allowBlank="false" errorStyle="stop" operator="equal" showDropDown="false" showErrorMessage="true" showInputMessage="false" sqref="T2" type="list">
      <formula1>"YES,NO"</formula1>
      <formula2>0</formula2>
    </dataValidation>
    <dataValidation allowBlank="true" errorStyle="stop" operator="equal" showDropDown="false" showErrorMessage="true" showInputMessage="false" sqref="P3" type="list">
      <formula1>"First of month,End of month"</formula1>
      <formula2>0</formula2>
    </dataValidation>
    <dataValidation allowBlank="false" errorStyle="stop" operator="equal" showDropDown="false" showErrorMessage="true" showInputMessage="false" sqref="Q8" type="list">
      <formula1>"YES,NO"</formula1>
      <formula2>0</formula2>
    </dataValidation>
    <dataValidation allowBlank="true" errorStyle="stop" operator="equal" showDropDown="false" showErrorMessage="true" showInputMessage="false" sqref="N37" type="list">
      <formula1>"Single,Married"</formula1>
      <formula2>0</formula2>
    </dataValidation>
    <dataValidation allowBlank="true" errorStyle="stop" operator="equal" showDropDown="false" showErrorMessage="true" showInputMessage="false" sqref="N45" type="list">
      <formula1>"Yes,No,"</formula1>
      <formula2>0</formula2>
    </dataValidation>
  </dataValidations>
  <printOptions headings="false" gridLines="false" gridLinesSet="true" horizontalCentered="true" verticalCentered="false"/>
  <pageMargins left="0.5" right="0.5" top="0.5" bottom="0.5" header="0.511811023622047" footer="0"/>
  <pageSetup paperSize="1" scale="100" fitToWidth="1" fitToHeight="0" pageOrder="downThenOver" orientation="landscape" blackAndWhite="false" draft="false" cellComments="none" horizontalDpi="300" verticalDpi="300" copies="1"/>
  <headerFooter differentFirst="false" differentOddEven="false">
    <oddHeader/>
    <oddFooter>&amp;C&amp;P</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MJ68"/>
  <sheetViews>
    <sheetView showFormulas="false" showGridLines="true" showRowColHeaders="true" showZeros="true" rightToLeft="false" tabSelected="false" showOutlineSymbols="true" defaultGridColor="true" view="normal" topLeftCell="A22" colorId="64" zoomScale="85" zoomScaleNormal="85" zoomScalePageLayoutView="100" workbookViewId="0">
      <selection pane="topLeft" activeCell="L33" activeCellId="0" sqref="L33"/>
    </sheetView>
  </sheetViews>
  <sheetFormatPr defaultColWidth="11.53515625" defaultRowHeight="12.8" customHeight="true" zeroHeight="false" outlineLevelRow="0" outlineLevelCol="0"/>
  <cols>
    <col collapsed="false" customWidth="true" hidden="false" outlineLevel="0" max="1" min="1" style="182" width="37.34"/>
    <col collapsed="false" customWidth="true" hidden="false" outlineLevel="0" max="2" min="2" style="182" width="11.72"/>
    <col collapsed="false" customWidth="true" hidden="false" outlineLevel="0" max="3" min="3" style="182" width="1.71"/>
    <col collapsed="false" customWidth="true" hidden="false" outlineLevel="0" max="4" min="4" style="182" width="11.72"/>
    <col collapsed="false" customWidth="true" hidden="false" outlineLevel="0" max="5" min="5" style="182" width="1.71"/>
    <col collapsed="false" customWidth="true" hidden="false" outlineLevel="0" max="6" min="6" style="182" width="11.72"/>
    <col collapsed="false" customWidth="true" hidden="false" outlineLevel="0" max="7" min="7" style="182" width="1.71"/>
    <col collapsed="false" customWidth="true" hidden="false" outlineLevel="0" max="8" min="8" style="182" width="11.72"/>
    <col collapsed="false" customWidth="true" hidden="false" outlineLevel="0" max="9" min="9" style="182" width="1.71"/>
    <col collapsed="false" customWidth="true" hidden="false" outlineLevel="0" max="10" min="10" style="182" width="11.72"/>
    <col collapsed="false" customWidth="true" hidden="false" outlineLevel="0" max="11" min="11" style="182" width="2.71"/>
    <col collapsed="false" customWidth="true" hidden="false" outlineLevel="0" max="12" min="12" style="182" width="40.21"/>
    <col collapsed="false" customWidth="true" hidden="false" outlineLevel="0" max="1024" min="13" style="182" width="9.15"/>
  </cols>
  <sheetData>
    <row r="1" customFormat="false" ht="35.1" hidden="false" customHeight="true" outlineLevel="0" collapsed="false">
      <c r="A1" s="290" t="s">
        <v>183</v>
      </c>
      <c r="B1" s="290"/>
      <c r="C1" s="290"/>
      <c r="D1" s="290"/>
      <c r="E1" s="290"/>
      <c r="F1" s="290"/>
      <c r="G1" s="290"/>
      <c r="H1" s="290"/>
      <c r="I1" s="290"/>
      <c r="J1" s="290"/>
      <c r="K1" s="290"/>
    </row>
    <row r="2" customFormat="false" ht="7.85" hidden="false" customHeight="true" outlineLevel="0" collapsed="false">
      <c r="A2" s="291" t="s">
        <v>8</v>
      </c>
      <c r="B2" s="291"/>
      <c r="C2" s="291"/>
      <c r="D2" s="291"/>
      <c r="E2" s="291"/>
      <c r="F2" s="291" t="s">
        <v>8</v>
      </c>
      <c r="G2" s="291"/>
      <c r="H2" s="291" t="s">
        <v>8</v>
      </c>
      <c r="I2" s="291" t="s">
        <v>8</v>
      </c>
      <c r="J2" s="291" t="s">
        <v>8</v>
      </c>
      <c r="K2" s="292" t="s">
        <v>8</v>
      </c>
    </row>
    <row r="3" customFormat="false" ht="6.95" hidden="true" customHeight="true" outlineLevel="0" collapsed="false">
      <c r="A3" s="293"/>
      <c r="B3" s="291"/>
      <c r="C3" s="291"/>
      <c r="D3" s="291"/>
      <c r="E3" s="291"/>
      <c r="F3" s="291"/>
      <c r="G3" s="291"/>
      <c r="H3" s="291"/>
      <c r="I3" s="291"/>
      <c r="J3" s="291"/>
      <c r="K3" s="291"/>
    </row>
    <row r="4" customFormat="false" ht="18" hidden="false" customHeight="true" outlineLevel="0" collapsed="false">
      <c r="A4" s="294" t="s">
        <v>184</v>
      </c>
      <c r="B4" s="295"/>
      <c r="C4" s="295"/>
      <c r="D4" s="295"/>
      <c r="E4" s="295"/>
      <c r="F4" s="295"/>
      <c r="G4" s="295"/>
      <c r="H4" s="295"/>
      <c r="I4" s="295"/>
      <c r="J4" s="295"/>
      <c r="K4" s="295"/>
      <c r="L4" s="296"/>
      <c r="M4" s="296"/>
      <c r="N4" s="296"/>
      <c r="O4" s="296"/>
      <c r="P4" s="296"/>
      <c r="Q4" s="296"/>
      <c r="R4" s="296"/>
      <c r="S4" s="296"/>
      <c r="T4" s="296"/>
      <c r="U4" s="296"/>
      <c r="V4" s="296"/>
      <c r="W4" s="296"/>
      <c r="X4" s="296"/>
      <c r="Y4" s="296"/>
      <c r="Z4" s="296"/>
      <c r="AA4" s="296"/>
      <c r="AB4" s="296"/>
      <c r="AC4" s="296"/>
      <c r="AD4" s="296"/>
      <c r="AE4" s="296"/>
      <c r="AF4" s="296"/>
      <c r="AG4" s="296"/>
      <c r="AH4" s="296"/>
      <c r="AI4" s="296"/>
      <c r="AJ4" s="296"/>
      <c r="AK4" s="296"/>
      <c r="AL4" s="296"/>
      <c r="AM4" s="296"/>
      <c r="AN4" s="296"/>
      <c r="AO4" s="296"/>
      <c r="AP4" s="296"/>
      <c r="AQ4" s="296"/>
      <c r="AR4" s="296"/>
      <c r="AS4" s="296"/>
      <c r="AT4" s="296"/>
      <c r="AU4" s="296"/>
      <c r="AV4" s="296"/>
      <c r="AW4" s="296"/>
      <c r="AX4" s="296"/>
      <c r="AY4" s="296"/>
      <c r="AZ4" s="296"/>
      <c r="BA4" s="296"/>
      <c r="BB4" s="296"/>
      <c r="BC4" s="296"/>
      <c r="BD4" s="296"/>
      <c r="BE4" s="296"/>
      <c r="BF4" s="296"/>
      <c r="BG4" s="296"/>
      <c r="BH4" s="296"/>
      <c r="BI4" s="296"/>
      <c r="BJ4" s="296"/>
      <c r="BK4" s="296"/>
      <c r="BL4" s="296"/>
      <c r="BM4" s="296"/>
      <c r="BN4" s="296"/>
      <c r="BO4" s="296"/>
      <c r="BP4" s="296"/>
      <c r="BQ4" s="296"/>
      <c r="BR4" s="296"/>
      <c r="BS4" s="296"/>
      <c r="BT4" s="296"/>
      <c r="BU4" s="296"/>
      <c r="BV4" s="296"/>
      <c r="BW4" s="296"/>
      <c r="BX4" s="296"/>
      <c r="BY4" s="296"/>
      <c r="BZ4" s="296"/>
      <c r="CA4" s="296"/>
      <c r="CB4" s="296"/>
      <c r="CC4" s="296"/>
      <c r="CD4" s="296"/>
      <c r="CE4" s="296"/>
      <c r="CF4" s="296"/>
      <c r="CG4" s="296"/>
      <c r="CH4" s="296"/>
      <c r="CI4" s="296"/>
      <c r="CJ4" s="296"/>
      <c r="CK4" s="296"/>
      <c r="CL4" s="296"/>
      <c r="CM4" s="296"/>
      <c r="CN4" s="296"/>
      <c r="CO4" s="296"/>
      <c r="CP4" s="296"/>
      <c r="CQ4" s="296"/>
      <c r="CR4" s="296"/>
      <c r="CS4" s="296"/>
      <c r="CT4" s="296"/>
      <c r="CU4" s="296"/>
      <c r="CV4" s="296"/>
      <c r="CW4" s="296"/>
      <c r="CX4" s="296"/>
      <c r="CY4" s="296"/>
      <c r="CZ4" s="296"/>
      <c r="DA4" s="296"/>
      <c r="DB4" s="296"/>
      <c r="DC4" s="296"/>
      <c r="DD4" s="296"/>
      <c r="DE4" s="296"/>
      <c r="DF4" s="296"/>
      <c r="DG4" s="296"/>
      <c r="DH4" s="296"/>
      <c r="DI4" s="296"/>
      <c r="DJ4" s="296"/>
      <c r="DK4" s="296"/>
      <c r="DL4" s="296"/>
      <c r="DM4" s="296"/>
      <c r="DN4" s="296"/>
      <c r="DO4" s="296"/>
      <c r="DP4" s="296"/>
      <c r="DQ4" s="296"/>
      <c r="DR4" s="296"/>
      <c r="DS4" s="296"/>
      <c r="DT4" s="296"/>
      <c r="DU4" s="296"/>
      <c r="DV4" s="296"/>
      <c r="DW4" s="296"/>
      <c r="DX4" s="296"/>
      <c r="DY4" s="296"/>
      <c r="DZ4" s="296"/>
      <c r="EA4" s="296"/>
      <c r="EB4" s="296"/>
      <c r="EC4" s="296"/>
      <c r="ED4" s="296"/>
      <c r="EE4" s="296"/>
      <c r="EF4" s="296"/>
      <c r="EG4" s="296"/>
      <c r="EH4" s="296"/>
      <c r="EI4" s="296"/>
      <c r="EJ4" s="296"/>
      <c r="EK4" s="296"/>
      <c r="EL4" s="296"/>
      <c r="EM4" s="296"/>
      <c r="EN4" s="296"/>
      <c r="EO4" s="296"/>
      <c r="EP4" s="296"/>
      <c r="EQ4" s="296"/>
      <c r="ER4" s="296"/>
      <c r="ES4" s="296"/>
      <c r="ET4" s="296"/>
      <c r="EU4" s="296"/>
      <c r="EV4" s="296"/>
      <c r="EW4" s="296"/>
      <c r="EX4" s="296"/>
      <c r="EY4" s="296"/>
      <c r="EZ4" s="296"/>
      <c r="FA4" s="296"/>
      <c r="FB4" s="296"/>
      <c r="FC4" s="296"/>
      <c r="FD4" s="296"/>
      <c r="FE4" s="296"/>
      <c r="FF4" s="296"/>
      <c r="FG4" s="296"/>
      <c r="FH4" s="296"/>
      <c r="FI4" s="296"/>
      <c r="FJ4" s="296"/>
      <c r="FK4" s="296"/>
      <c r="FL4" s="296"/>
      <c r="FM4" s="296"/>
      <c r="FN4" s="296"/>
      <c r="FO4" s="296"/>
      <c r="FP4" s="296"/>
      <c r="FQ4" s="296"/>
      <c r="FR4" s="296"/>
      <c r="FS4" s="296"/>
      <c r="FT4" s="296"/>
      <c r="FU4" s="296"/>
      <c r="FV4" s="296"/>
      <c r="FW4" s="296"/>
      <c r="FX4" s="296"/>
      <c r="FY4" s="296"/>
      <c r="FZ4" s="296"/>
      <c r="GA4" s="296"/>
      <c r="GB4" s="296"/>
      <c r="GC4" s="296"/>
      <c r="GD4" s="296"/>
      <c r="GE4" s="296"/>
      <c r="GF4" s="296"/>
      <c r="GG4" s="296"/>
      <c r="GH4" s="296"/>
      <c r="GI4" s="296"/>
      <c r="GJ4" s="296"/>
      <c r="GK4" s="296"/>
      <c r="GL4" s="296"/>
      <c r="GM4" s="296"/>
      <c r="GN4" s="296"/>
      <c r="GO4" s="296"/>
      <c r="GP4" s="296"/>
      <c r="GQ4" s="296"/>
      <c r="GR4" s="296"/>
      <c r="GS4" s="296"/>
      <c r="GT4" s="296"/>
      <c r="GU4" s="296"/>
      <c r="GV4" s="296"/>
      <c r="GW4" s="296"/>
      <c r="GX4" s="296"/>
      <c r="GY4" s="296"/>
      <c r="GZ4" s="296"/>
      <c r="HA4" s="296"/>
      <c r="HB4" s="296"/>
      <c r="HC4" s="296"/>
      <c r="HD4" s="296"/>
      <c r="HE4" s="296"/>
      <c r="HF4" s="296"/>
      <c r="HG4" s="296"/>
      <c r="HH4" s="296"/>
      <c r="HI4" s="296"/>
      <c r="HJ4" s="296"/>
      <c r="HK4" s="296"/>
      <c r="HL4" s="296"/>
      <c r="HM4" s="296"/>
      <c r="HN4" s="296"/>
      <c r="HO4" s="296"/>
      <c r="HP4" s="296"/>
      <c r="HQ4" s="296"/>
      <c r="HR4" s="296"/>
      <c r="HS4" s="296"/>
      <c r="HT4" s="296"/>
      <c r="HU4" s="296"/>
      <c r="HV4" s="296"/>
      <c r="HW4" s="296"/>
      <c r="HX4" s="296"/>
      <c r="HY4" s="296"/>
      <c r="HZ4" s="296"/>
      <c r="IA4" s="296"/>
      <c r="IB4" s="296"/>
      <c r="IC4" s="296"/>
      <c r="ID4" s="296"/>
      <c r="IE4" s="296"/>
      <c r="IF4" s="296"/>
      <c r="IG4" s="296"/>
      <c r="IH4" s="296"/>
      <c r="II4" s="296"/>
      <c r="IJ4" s="296"/>
      <c r="IK4" s="296"/>
      <c r="IL4" s="296"/>
      <c r="IM4" s="296"/>
      <c r="IN4" s="296"/>
      <c r="IO4" s="296"/>
      <c r="IP4" s="296"/>
      <c r="IQ4" s="296"/>
      <c r="IR4" s="296"/>
      <c r="IS4" s="296"/>
      <c r="IT4" s="296"/>
      <c r="IU4" s="296"/>
      <c r="IV4" s="296"/>
      <c r="IW4" s="296"/>
      <c r="IX4" s="296"/>
      <c r="IY4" s="296"/>
      <c r="IZ4" s="296"/>
      <c r="JA4" s="296"/>
      <c r="JB4" s="296"/>
      <c r="JC4" s="296"/>
      <c r="JD4" s="296"/>
      <c r="JE4" s="296"/>
      <c r="JF4" s="296"/>
      <c r="JG4" s="296"/>
      <c r="JH4" s="296"/>
      <c r="JI4" s="296"/>
      <c r="JJ4" s="296"/>
      <c r="JK4" s="296"/>
      <c r="JL4" s="296"/>
      <c r="JM4" s="296"/>
      <c r="JN4" s="296"/>
      <c r="JO4" s="296"/>
      <c r="JP4" s="296"/>
      <c r="JQ4" s="296"/>
      <c r="JR4" s="296"/>
      <c r="JS4" s="296"/>
      <c r="JT4" s="296"/>
      <c r="JU4" s="296"/>
      <c r="JV4" s="296"/>
      <c r="JW4" s="296"/>
      <c r="JX4" s="296"/>
      <c r="JY4" s="296"/>
      <c r="JZ4" s="296"/>
      <c r="KA4" s="296"/>
      <c r="KB4" s="296"/>
      <c r="KC4" s="296"/>
      <c r="KD4" s="296"/>
      <c r="KE4" s="296"/>
      <c r="KF4" s="296"/>
      <c r="KG4" s="296"/>
      <c r="KH4" s="296"/>
      <c r="KI4" s="296"/>
      <c r="KJ4" s="296"/>
      <c r="KK4" s="296"/>
      <c r="KL4" s="296"/>
      <c r="KM4" s="296"/>
      <c r="KN4" s="296"/>
      <c r="KO4" s="296"/>
      <c r="KP4" s="296"/>
      <c r="KQ4" s="296"/>
      <c r="KR4" s="296"/>
      <c r="KS4" s="296"/>
      <c r="KT4" s="296"/>
      <c r="KU4" s="296"/>
      <c r="KV4" s="296"/>
      <c r="KW4" s="296"/>
      <c r="KX4" s="296"/>
      <c r="KY4" s="296"/>
      <c r="KZ4" s="296"/>
      <c r="LA4" s="296"/>
      <c r="LB4" s="296"/>
      <c r="LC4" s="296"/>
      <c r="LD4" s="296"/>
      <c r="LE4" s="296"/>
      <c r="LF4" s="296"/>
      <c r="LG4" s="296"/>
      <c r="LH4" s="296"/>
      <c r="LI4" s="296"/>
      <c r="LJ4" s="296"/>
      <c r="LK4" s="296"/>
      <c r="LL4" s="296"/>
      <c r="LM4" s="296"/>
      <c r="LN4" s="296"/>
      <c r="LO4" s="296"/>
      <c r="LP4" s="296"/>
      <c r="LQ4" s="296"/>
      <c r="LR4" s="296"/>
      <c r="LS4" s="296"/>
      <c r="LT4" s="296"/>
      <c r="LU4" s="296"/>
      <c r="LV4" s="296"/>
      <c r="LW4" s="296"/>
      <c r="LX4" s="296"/>
      <c r="LY4" s="296"/>
      <c r="LZ4" s="296"/>
      <c r="MA4" s="296"/>
      <c r="MB4" s="296"/>
      <c r="MC4" s="296"/>
      <c r="MD4" s="296"/>
      <c r="ME4" s="296"/>
      <c r="MF4" s="296"/>
      <c r="MG4" s="296"/>
      <c r="MH4" s="296"/>
      <c r="MI4" s="296"/>
      <c r="MJ4" s="296"/>
      <c r="MK4" s="296"/>
      <c r="ML4" s="296"/>
      <c r="MM4" s="296"/>
      <c r="MN4" s="296"/>
      <c r="MO4" s="296"/>
      <c r="MP4" s="296"/>
      <c r="MQ4" s="296"/>
      <c r="MR4" s="296"/>
      <c r="MS4" s="296"/>
      <c r="MT4" s="296"/>
      <c r="MU4" s="296"/>
      <c r="MV4" s="296"/>
      <c r="MW4" s="296"/>
      <c r="MX4" s="296"/>
      <c r="MY4" s="296"/>
      <c r="MZ4" s="296"/>
      <c r="NA4" s="296"/>
      <c r="NB4" s="296"/>
      <c r="NC4" s="296"/>
      <c r="ND4" s="296"/>
      <c r="NE4" s="296"/>
      <c r="NF4" s="296"/>
      <c r="NG4" s="296"/>
      <c r="NH4" s="296"/>
      <c r="NI4" s="296"/>
      <c r="NJ4" s="296"/>
      <c r="NK4" s="296"/>
      <c r="NL4" s="296"/>
      <c r="NM4" s="296"/>
      <c r="NN4" s="296"/>
      <c r="NO4" s="296"/>
      <c r="NP4" s="296"/>
      <c r="NQ4" s="296"/>
      <c r="NR4" s="296"/>
      <c r="NS4" s="296"/>
      <c r="NT4" s="296"/>
      <c r="NU4" s="296"/>
      <c r="NV4" s="296"/>
      <c r="NW4" s="296"/>
      <c r="NX4" s="296"/>
      <c r="NY4" s="296"/>
      <c r="NZ4" s="296"/>
      <c r="OA4" s="296"/>
      <c r="OB4" s="296"/>
      <c r="OC4" s="296"/>
      <c r="OD4" s="296"/>
      <c r="OE4" s="296"/>
      <c r="OF4" s="296"/>
      <c r="OG4" s="296"/>
      <c r="OH4" s="296"/>
      <c r="OI4" s="296"/>
      <c r="OJ4" s="296"/>
      <c r="OK4" s="296"/>
      <c r="OL4" s="296"/>
      <c r="OM4" s="296"/>
      <c r="ON4" s="296"/>
      <c r="OO4" s="296"/>
      <c r="OP4" s="296"/>
      <c r="OQ4" s="296"/>
      <c r="OR4" s="296"/>
      <c r="OS4" s="296"/>
      <c r="OT4" s="296"/>
      <c r="OU4" s="296"/>
      <c r="OV4" s="296"/>
      <c r="OW4" s="296"/>
      <c r="OX4" s="296"/>
      <c r="OY4" s="296"/>
      <c r="OZ4" s="296"/>
      <c r="PA4" s="296"/>
      <c r="PB4" s="296"/>
      <c r="PC4" s="296"/>
      <c r="PD4" s="296"/>
      <c r="PE4" s="296"/>
      <c r="PF4" s="296"/>
      <c r="PG4" s="296"/>
      <c r="PH4" s="296"/>
      <c r="PI4" s="296"/>
      <c r="PJ4" s="296"/>
      <c r="PK4" s="296"/>
      <c r="PL4" s="296"/>
      <c r="PM4" s="296"/>
      <c r="PN4" s="296"/>
      <c r="PO4" s="296"/>
      <c r="PP4" s="296"/>
      <c r="PQ4" s="296"/>
      <c r="PR4" s="296"/>
      <c r="PS4" s="296"/>
      <c r="PT4" s="296"/>
      <c r="PU4" s="296"/>
      <c r="PV4" s="296"/>
      <c r="PW4" s="296"/>
      <c r="PX4" s="296"/>
      <c r="PY4" s="296"/>
      <c r="PZ4" s="296"/>
      <c r="QA4" s="296"/>
      <c r="QB4" s="296"/>
      <c r="QC4" s="296"/>
      <c r="QD4" s="296"/>
      <c r="QE4" s="296"/>
      <c r="QF4" s="296"/>
      <c r="QG4" s="296"/>
      <c r="QH4" s="296"/>
      <c r="QI4" s="296"/>
      <c r="QJ4" s="296"/>
      <c r="QK4" s="296"/>
      <c r="QL4" s="296"/>
      <c r="QM4" s="296"/>
      <c r="QN4" s="296"/>
      <c r="QO4" s="296"/>
      <c r="QP4" s="296"/>
      <c r="QQ4" s="296"/>
      <c r="QR4" s="296"/>
      <c r="QS4" s="296"/>
      <c r="QT4" s="296"/>
      <c r="QU4" s="296"/>
      <c r="QV4" s="296"/>
      <c r="QW4" s="296"/>
      <c r="QX4" s="296"/>
      <c r="QY4" s="296"/>
      <c r="QZ4" s="296"/>
      <c r="RA4" s="296"/>
      <c r="RB4" s="296"/>
      <c r="RC4" s="296"/>
      <c r="RD4" s="296"/>
      <c r="RE4" s="296"/>
      <c r="RF4" s="296"/>
      <c r="RG4" s="296"/>
      <c r="RH4" s="296"/>
      <c r="RI4" s="296"/>
      <c r="RJ4" s="296"/>
      <c r="RK4" s="296"/>
      <c r="RL4" s="296"/>
      <c r="RM4" s="296"/>
      <c r="RN4" s="296"/>
      <c r="RO4" s="296"/>
      <c r="RP4" s="296"/>
      <c r="RQ4" s="296"/>
      <c r="RR4" s="296"/>
      <c r="RS4" s="296"/>
      <c r="RT4" s="296"/>
      <c r="RU4" s="296"/>
      <c r="RV4" s="296"/>
      <c r="RW4" s="296"/>
      <c r="RX4" s="296"/>
      <c r="RY4" s="296"/>
      <c r="RZ4" s="296"/>
      <c r="SA4" s="296"/>
      <c r="SB4" s="296"/>
      <c r="SC4" s="296"/>
      <c r="SD4" s="296"/>
      <c r="SE4" s="296"/>
      <c r="SF4" s="296"/>
      <c r="SG4" s="296"/>
      <c r="SH4" s="296"/>
      <c r="SI4" s="296"/>
      <c r="SJ4" s="296"/>
      <c r="SK4" s="296"/>
      <c r="SL4" s="296"/>
      <c r="SM4" s="296"/>
      <c r="SN4" s="296"/>
      <c r="SO4" s="296"/>
      <c r="SP4" s="296"/>
      <c r="SQ4" s="296"/>
      <c r="SR4" s="296"/>
      <c r="SS4" s="296"/>
      <c r="ST4" s="296"/>
      <c r="SU4" s="296"/>
      <c r="SV4" s="296"/>
      <c r="SW4" s="296"/>
      <c r="SX4" s="296"/>
      <c r="SY4" s="296"/>
      <c r="SZ4" s="296"/>
      <c r="TA4" s="296"/>
      <c r="TB4" s="296"/>
      <c r="TC4" s="296"/>
      <c r="TD4" s="296"/>
      <c r="TE4" s="296"/>
      <c r="TF4" s="296"/>
      <c r="TG4" s="296"/>
      <c r="TH4" s="296"/>
      <c r="TI4" s="296"/>
      <c r="TJ4" s="296"/>
      <c r="TK4" s="296"/>
      <c r="TL4" s="296"/>
      <c r="TM4" s="296"/>
      <c r="TN4" s="296"/>
      <c r="TO4" s="296"/>
      <c r="TP4" s="296"/>
      <c r="TQ4" s="296"/>
      <c r="TR4" s="296"/>
      <c r="TS4" s="296"/>
      <c r="TT4" s="296"/>
      <c r="TU4" s="296"/>
      <c r="TV4" s="296"/>
      <c r="TW4" s="296"/>
      <c r="TX4" s="296"/>
      <c r="TY4" s="296"/>
      <c r="TZ4" s="296"/>
      <c r="UA4" s="296"/>
      <c r="UB4" s="296"/>
      <c r="UC4" s="296"/>
      <c r="UD4" s="296"/>
      <c r="UE4" s="296"/>
      <c r="UF4" s="296"/>
      <c r="UG4" s="296"/>
      <c r="UH4" s="296"/>
      <c r="UI4" s="296"/>
      <c r="UJ4" s="296"/>
      <c r="UK4" s="296"/>
      <c r="UL4" s="296"/>
      <c r="UM4" s="296"/>
      <c r="UN4" s="296"/>
      <c r="UO4" s="296"/>
      <c r="UP4" s="296"/>
      <c r="UQ4" s="296"/>
      <c r="UR4" s="296"/>
      <c r="US4" s="296"/>
      <c r="UT4" s="296"/>
      <c r="UU4" s="296"/>
      <c r="UV4" s="296"/>
      <c r="UW4" s="296"/>
      <c r="UX4" s="296"/>
      <c r="UY4" s="296"/>
      <c r="UZ4" s="296"/>
      <c r="VA4" s="296"/>
      <c r="VB4" s="296"/>
      <c r="VC4" s="296"/>
      <c r="VD4" s="296"/>
      <c r="VE4" s="296"/>
      <c r="VF4" s="296"/>
      <c r="VG4" s="296"/>
      <c r="VH4" s="296"/>
      <c r="VI4" s="296"/>
      <c r="VJ4" s="296"/>
      <c r="VK4" s="296"/>
      <c r="VL4" s="296"/>
      <c r="VM4" s="296"/>
      <c r="VN4" s="296"/>
      <c r="VO4" s="296"/>
      <c r="VP4" s="296"/>
      <c r="VQ4" s="296"/>
      <c r="VR4" s="296"/>
      <c r="VS4" s="296"/>
      <c r="VT4" s="296"/>
      <c r="VU4" s="296"/>
      <c r="VV4" s="296"/>
      <c r="VW4" s="296"/>
      <c r="VX4" s="296"/>
      <c r="VY4" s="296"/>
      <c r="VZ4" s="296"/>
      <c r="WA4" s="296"/>
      <c r="WB4" s="296"/>
      <c r="WC4" s="296"/>
      <c r="WD4" s="296"/>
      <c r="WE4" s="296"/>
      <c r="WF4" s="296"/>
      <c r="WG4" s="296"/>
      <c r="WH4" s="296"/>
      <c r="WI4" s="296"/>
      <c r="WJ4" s="296"/>
      <c r="WK4" s="296"/>
      <c r="WL4" s="296"/>
      <c r="WM4" s="296"/>
      <c r="WN4" s="296"/>
      <c r="WO4" s="296"/>
      <c r="WP4" s="296"/>
      <c r="WQ4" s="296"/>
      <c r="WR4" s="296"/>
      <c r="WS4" s="296"/>
      <c r="WT4" s="296"/>
      <c r="WU4" s="296"/>
      <c r="WV4" s="296"/>
      <c r="WW4" s="296"/>
      <c r="WX4" s="296"/>
      <c r="WY4" s="296"/>
      <c r="WZ4" s="296"/>
      <c r="XA4" s="296"/>
      <c r="XB4" s="296"/>
      <c r="XC4" s="296"/>
      <c r="XD4" s="296"/>
      <c r="XE4" s="296"/>
      <c r="XF4" s="296"/>
      <c r="XG4" s="296"/>
      <c r="XH4" s="296"/>
      <c r="XI4" s="296"/>
      <c r="XJ4" s="296"/>
      <c r="XK4" s="296"/>
      <c r="XL4" s="296"/>
      <c r="XM4" s="296"/>
      <c r="XN4" s="296"/>
      <c r="XO4" s="296"/>
      <c r="XP4" s="296"/>
      <c r="XQ4" s="296"/>
      <c r="XR4" s="296"/>
      <c r="XS4" s="296"/>
      <c r="XT4" s="296"/>
      <c r="XU4" s="296"/>
      <c r="XV4" s="296"/>
      <c r="XW4" s="296"/>
      <c r="XX4" s="296"/>
      <c r="XY4" s="296"/>
      <c r="XZ4" s="296"/>
      <c r="YA4" s="296"/>
      <c r="YB4" s="296"/>
      <c r="YC4" s="296"/>
      <c r="YD4" s="296"/>
      <c r="YE4" s="296"/>
      <c r="YF4" s="296"/>
      <c r="YG4" s="296"/>
      <c r="YH4" s="296"/>
      <c r="YI4" s="296"/>
      <c r="YJ4" s="296"/>
      <c r="YK4" s="296"/>
      <c r="YL4" s="296"/>
      <c r="YM4" s="296"/>
      <c r="YN4" s="296"/>
      <c r="YO4" s="296"/>
      <c r="YP4" s="296"/>
      <c r="YQ4" s="296"/>
      <c r="YR4" s="296"/>
      <c r="YS4" s="296"/>
      <c r="YT4" s="296"/>
      <c r="YU4" s="296"/>
      <c r="YV4" s="296"/>
      <c r="YW4" s="296"/>
      <c r="YX4" s="296"/>
      <c r="YY4" s="296"/>
      <c r="YZ4" s="296"/>
      <c r="ZA4" s="296"/>
      <c r="ZB4" s="296"/>
      <c r="ZC4" s="296"/>
      <c r="ZD4" s="296"/>
      <c r="ZE4" s="296"/>
      <c r="ZF4" s="296"/>
      <c r="ZG4" s="296"/>
      <c r="ZH4" s="296"/>
      <c r="ZI4" s="296"/>
      <c r="ZJ4" s="296"/>
      <c r="ZK4" s="296"/>
      <c r="ZL4" s="296"/>
      <c r="ZM4" s="296"/>
      <c r="ZN4" s="296"/>
      <c r="ZO4" s="296"/>
      <c r="ZP4" s="296"/>
      <c r="ZQ4" s="296"/>
      <c r="ZR4" s="296"/>
      <c r="ZS4" s="296"/>
      <c r="ZT4" s="296"/>
      <c r="ZU4" s="296"/>
      <c r="ZV4" s="296"/>
      <c r="ZW4" s="296"/>
      <c r="ZX4" s="296"/>
      <c r="ZY4" s="296"/>
      <c r="ZZ4" s="296"/>
      <c r="AAA4" s="296"/>
      <c r="AAB4" s="296"/>
      <c r="AAC4" s="296"/>
      <c r="AAD4" s="296"/>
      <c r="AAE4" s="296"/>
      <c r="AAF4" s="296"/>
      <c r="AAG4" s="296"/>
      <c r="AAH4" s="296"/>
      <c r="AAI4" s="296"/>
      <c r="AAJ4" s="296"/>
      <c r="AAK4" s="296"/>
      <c r="AAL4" s="296"/>
      <c r="AAM4" s="296"/>
      <c r="AAN4" s="296"/>
      <c r="AAO4" s="296"/>
      <c r="AAP4" s="296"/>
      <c r="AAQ4" s="296"/>
      <c r="AAR4" s="296"/>
      <c r="AAS4" s="296"/>
      <c r="AAT4" s="296"/>
      <c r="AAU4" s="296"/>
      <c r="AAV4" s="296"/>
      <c r="AAW4" s="296"/>
      <c r="AAX4" s="296"/>
      <c r="AAY4" s="296"/>
      <c r="AAZ4" s="296"/>
      <c r="ABA4" s="296"/>
      <c r="ABB4" s="296"/>
      <c r="ABC4" s="296"/>
      <c r="ABD4" s="296"/>
      <c r="ABE4" s="296"/>
      <c r="ABF4" s="296"/>
      <c r="ABG4" s="296"/>
      <c r="ABH4" s="296"/>
      <c r="ABI4" s="296"/>
      <c r="ABJ4" s="296"/>
      <c r="ABK4" s="296"/>
      <c r="ABL4" s="296"/>
      <c r="ABM4" s="296"/>
      <c r="ABN4" s="296"/>
      <c r="ABO4" s="296"/>
      <c r="ABP4" s="296"/>
      <c r="ABQ4" s="296"/>
      <c r="ABR4" s="296"/>
      <c r="ABS4" s="296"/>
      <c r="ABT4" s="296"/>
      <c r="ABU4" s="296"/>
      <c r="ABV4" s="296"/>
      <c r="ABW4" s="296"/>
      <c r="ABX4" s="296"/>
      <c r="ABY4" s="296"/>
      <c r="ABZ4" s="296"/>
      <c r="ACA4" s="296"/>
      <c r="ACB4" s="296"/>
      <c r="ACC4" s="296"/>
      <c r="ACD4" s="296"/>
      <c r="ACE4" s="296"/>
      <c r="ACF4" s="296"/>
      <c r="ACG4" s="296"/>
      <c r="ACH4" s="296"/>
      <c r="ACI4" s="296"/>
      <c r="ACJ4" s="296"/>
      <c r="ACK4" s="296"/>
      <c r="ACL4" s="296"/>
      <c r="ACM4" s="296"/>
      <c r="ACN4" s="296"/>
      <c r="ACO4" s="296"/>
      <c r="ACP4" s="296"/>
      <c r="ACQ4" s="296"/>
      <c r="ACR4" s="296"/>
      <c r="ACS4" s="296"/>
      <c r="ACT4" s="296"/>
      <c r="ACU4" s="296"/>
      <c r="ACV4" s="296"/>
      <c r="ACW4" s="296"/>
      <c r="ACX4" s="296"/>
      <c r="ACY4" s="296"/>
      <c r="ACZ4" s="296"/>
      <c r="ADA4" s="296"/>
      <c r="ADB4" s="296"/>
      <c r="ADC4" s="296"/>
      <c r="ADD4" s="296"/>
      <c r="ADE4" s="296"/>
      <c r="ADF4" s="296"/>
      <c r="ADG4" s="296"/>
      <c r="ADH4" s="296"/>
      <c r="ADI4" s="296"/>
      <c r="ADJ4" s="296"/>
      <c r="ADK4" s="296"/>
      <c r="ADL4" s="296"/>
      <c r="ADM4" s="296"/>
      <c r="ADN4" s="296"/>
      <c r="ADO4" s="296"/>
      <c r="ADP4" s="296"/>
      <c r="ADQ4" s="296"/>
      <c r="ADR4" s="296"/>
      <c r="ADS4" s="296"/>
      <c r="ADT4" s="296"/>
      <c r="ADU4" s="296"/>
      <c r="ADV4" s="296"/>
      <c r="ADW4" s="296"/>
      <c r="ADX4" s="296"/>
      <c r="ADY4" s="296"/>
      <c r="ADZ4" s="296"/>
      <c r="AEA4" s="296"/>
      <c r="AEB4" s="296"/>
      <c r="AEC4" s="296"/>
      <c r="AED4" s="296"/>
      <c r="AEE4" s="296"/>
      <c r="AEF4" s="296"/>
      <c r="AEG4" s="296"/>
      <c r="AEH4" s="296"/>
      <c r="AEI4" s="296"/>
      <c r="AEJ4" s="296"/>
      <c r="AEK4" s="296"/>
      <c r="AEL4" s="296"/>
      <c r="AEM4" s="296"/>
      <c r="AEN4" s="296"/>
      <c r="AEO4" s="296"/>
      <c r="AEP4" s="296"/>
      <c r="AEQ4" s="296"/>
      <c r="AER4" s="296"/>
      <c r="AES4" s="296"/>
      <c r="AET4" s="296"/>
      <c r="AEU4" s="296"/>
      <c r="AEV4" s="296"/>
      <c r="AEW4" s="296"/>
      <c r="AEX4" s="296"/>
      <c r="AEY4" s="296"/>
      <c r="AEZ4" s="296"/>
      <c r="AFA4" s="296"/>
      <c r="AFB4" s="296"/>
      <c r="AFC4" s="296"/>
      <c r="AFD4" s="296"/>
      <c r="AFE4" s="296"/>
      <c r="AFF4" s="296"/>
      <c r="AFG4" s="296"/>
      <c r="AFH4" s="296"/>
      <c r="AFI4" s="296"/>
      <c r="AFJ4" s="296"/>
      <c r="AFK4" s="296"/>
      <c r="AFL4" s="296"/>
      <c r="AFM4" s="296"/>
      <c r="AFN4" s="296"/>
      <c r="AFO4" s="296"/>
      <c r="AFP4" s="296"/>
      <c r="AFQ4" s="296"/>
      <c r="AFR4" s="296"/>
      <c r="AFS4" s="296"/>
      <c r="AFT4" s="296"/>
      <c r="AFU4" s="296"/>
      <c r="AFV4" s="296"/>
      <c r="AFW4" s="296"/>
      <c r="AFX4" s="296"/>
      <c r="AFY4" s="296"/>
      <c r="AFZ4" s="296"/>
      <c r="AGA4" s="296"/>
      <c r="AGB4" s="296"/>
      <c r="AGC4" s="296"/>
      <c r="AGD4" s="296"/>
      <c r="AGE4" s="296"/>
      <c r="AGF4" s="296"/>
      <c r="AGG4" s="296"/>
      <c r="AGH4" s="296"/>
      <c r="AGI4" s="296"/>
      <c r="AGJ4" s="296"/>
      <c r="AGK4" s="296"/>
      <c r="AGL4" s="296"/>
      <c r="AGM4" s="296"/>
      <c r="AGN4" s="296"/>
      <c r="AGO4" s="296"/>
      <c r="AGP4" s="296"/>
      <c r="AGQ4" s="296"/>
      <c r="AGR4" s="296"/>
      <c r="AGS4" s="296"/>
      <c r="AGT4" s="296"/>
      <c r="AGU4" s="296"/>
      <c r="AGV4" s="296"/>
      <c r="AGW4" s="296"/>
      <c r="AGX4" s="296"/>
      <c r="AGY4" s="296"/>
      <c r="AGZ4" s="296"/>
      <c r="AHA4" s="296"/>
      <c r="AHB4" s="296"/>
      <c r="AHC4" s="296"/>
      <c r="AHD4" s="296"/>
      <c r="AHE4" s="296"/>
      <c r="AHF4" s="296"/>
      <c r="AHG4" s="296"/>
      <c r="AHH4" s="296"/>
      <c r="AHI4" s="296"/>
      <c r="AHJ4" s="296"/>
      <c r="AHK4" s="296"/>
      <c r="AHL4" s="296"/>
      <c r="AHM4" s="296"/>
      <c r="AHN4" s="296"/>
      <c r="AHO4" s="296"/>
      <c r="AHP4" s="296"/>
      <c r="AHQ4" s="296"/>
      <c r="AHR4" s="296"/>
      <c r="AHS4" s="296"/>
      <c r="AHT4" s="296"/>
      <c r="AHU4" s="296"/>
      <c r="AHV4" s="296"/>
      <c r="AHW4" s="296"/>
      <c r="AHX4" s="296"/>
      <c r="AHY4" s="296"/>
      <c r="AHZ4" s="296"/>
      <c r="AIA4" s="296"/>
      <c r="AIB4" s="296"/>
      <c r="AIC4" s="296"/>
      <c r="AID4" s="296"/>
      <c r="AIE4" s="296"/>
      <c r="AIF4" s="296"/>
      <c r="AIG4" s="296"/>
      <c r="AIH4" s="296"/>
      <c r="AII4" s="296"/>
      <c r="AIJ4" s="296"/>
      <c r="AIK4" s="296"/>
      <c r="AIL4" s="296"/>
      <c r="AIM4" s="296"/>
      <c r="AIN4" s="296"/>
      <c r="AIO4" s="296"/>
      <c r="AIP4" s="296"/>
      <c r="AIQ4" s="296"/>
      <c r="AIR4" s="296"/>
      <c r="AIS4" s="296"/>
      <c r="AIT4" s="296"/>
      <c r="AIU4" s="296"/>
      <c r="AIV4" s="296"/>
      <c r="AIW4" s="296"/>
      <c r="AIX4" s="296"/>
      <c r="AIY4" s="296"/>
      <c r="AIZ4" s="296"/>
      <c r="AJA4" s="296"/>
      <c r="AJB4" s="296"/>
      <c r="AJC4" s="296"/>
      <c r="AJD4" s="296"/>
      <c r="AJE4" s="296"/>
      <c r="AJF4" s="296"/>
      <c r="AJG4" s="296"/>
      <c r="AJH4" s="296"/>
      <c r="AJI4" s="296"/>
      <c r="AJJ4" s="296"/>
      <c r="AJK4" s="296"/>
      <c r="AJL4" s="296"/>
      <c r="AJM4" s="296"/>
      <c r="AJN4" s="296"/>
      <c r="AJO4" s="296"/>
      <c r="AJP4" s="296"/>
      <c r="AJQ4" s="296"/>
      <c r="AJR4" s="296"/>
      <c r="AJS4" s="296"/>
      <c r="AJT4" s="296"/>
      <c r="AJU4" s="296"/>
      <c r="AJV4" s="296"/>
      <c r="AJW4" s="296"/>
      <c r="AJX4" s="296"/>
      <c r="AJY4" s="296"/>
      <c r="AJZ4" s="296"/>
      <c r="AKA4" s="296"/>
      <c r="AKB4" s="296"/>
      <c r="AKC4" s="296"/>
      <c r="AKD4" s="296"/>
      <c r="AKE4" s="296"/>
      <c r="AKF4" s="296"/>
      <c r="AKG4" s="296"/>
      <c r="AKH4" s="296"/>
      <c r="AKI4" s="296"/>
      <c r="AKJ4" s="296"/>
      <c r="AKK4" s="296"/>
      <c r="AKL4" s="296"/>
      <c r="AKM4" s="296"/>
      <c r="AKN4" s="296"/>
      <c r="AKO4" s="296"/>
      <c r="AKP4" s="296"/>
      <c r="AKQ4" s="296"/>
      <c r="AKR4" s="296"/>
      <c r="AKS4" s="296"/>
      <c r="AKT4" s="296"/>
      <c r="AKU4" s="296"/>
      <c r="AKV4" s="296"/>
      <c r="AKW4" s="296"/>
      <c r="AKX4" s="296"/>
      <c r="AKY4" s="296"/>
      <c r="AKZ4" s="296"/>
      <c r="ALA4" s="296"/>
      <c r="ALB4" s="296"/>
      <c r="ALC4" s="296"/>
      <c r="ALD4" s="296"/>
      <c r="ALE4" s="296"/>
      <c r="ALF4" s="296"/>
      <c r="ALG4" s="296"/>
      <c r="ALH4" s="296"/>
      <c r="ALI4" s="296"/>
      <c r="ALJ4" s="296"/>
      <c r="ALK4" s="296"/>
      <c r="ALL4" s="296"/>
      <c r="ALM4" s="296"/>
      <c r="ALN4" s="296"/>
      <c r="ALO4" s="296"/>
      <c r="ALP4" s="296"/>
      <c r="ALQ4" s="296"/>
      <c r="ALR4" s="296"/>
      <c r="ALS4" s="296"/>
      <c r="ALT4" s="296"/>
      <c r="ALU4" s="296"/>
      <c r="ALV4" s="296"/>
      <c r="ALW4" s="296"/>
      <c r="ALX4" s="296"/>
      <c r="ALY4" s="296"/>
      <c r="ALZ4" s="296"/>
      <c r="AMA4" s="296"/>
      <c r="AMB4" s="296"/>
      <c r="AMC4" s="296"/>
      <c r="AMD4" s="296"/>
      <c r="AME4" s="296"/>
      <c r="AMF4" s="296"/>
      <c r="AMG4" s="296"/>
      <c r="AMH4" s="296"/>
      <c r="AMI4" s="296"/>
      <c r="AMJ4" s="296"/>
    </row>
    <row r="5" customFormat="false" ht="6.95" hidden="false" customHeight="true" outlineLevel="0" collapsed="false">
      <c r="A5" s="297"/>
      <c r="B5" s="298"/>
      <c r="C5" s="298"/>
      <c r="D5" s="298"/>
      <c r="E5" s="298"/>
      <c r="F5" s="298"/>
      <c r="G5" s="298"/>
      <c r="H5" s="298"/>
      <c r="I5" s="298"/>
      <c r="J5" s="298"/>
      <c r="K5" s="298"/>
    </row>
    <row r="6" customFormat="false" ht="12.8" hidden="false" customHeight="false" outlineLevel="0" collapsed="false">
      <c r="A6" s="299" t="s">
        <v>185</v>
      </c>
      <c r="B6" s="300" t="n">
        <f aca="false">Worksheet!D17</f>
        <v>60.85</v>
      </c>
      <c r="C6" s="301"/>
      <c r="D6" s="301"/>
      <c r="E6" s="301"/>
      <c r="F6" s="301" t="s">
        <v>186</v>
      </c>
      <c r="G6" s="301"/>
      <c r="H6" s="301"/>
      <c r="I6" s="301"/>
      <c r="J6" s="302" t="n">
        <f aca="false">IF(AND(B7&gt;0,B6),B7-B6,"")</f>
        <v>0.200000000000003</v>
      </c>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1"/>
      <c r="AU6" s="301"/>
      <c r="AV6" s="301"/>
      <c r="AW6" s="301"/>
      <c r="AX6" s="301"/>
      <c r="AY6" s="301"/>
      <c r="AZ6" s="301"/>
      <c r="BA6" s="301"/>
      <c r="BB6" s="301"/>
      <c r="BC6" s="301"/>
      <c r="BD6" s="301"/>
      <c r="BE6" s="301"/>
      <c r="BF6" s="301"/>
      <c r="BG6" s="301"/>
      <c r="BH6" s="301"/>
      <c r="BI6" s="301"/>
      <c r="BJ6" s="301"/>
      <c r="BK6" s="301"/>
      <c r="BL6" s="301"/>
      <c r="BM6" s="301"/>
      <c r="BN6" s="301"/>
      <c r="BO6" s="301"/>
      <c r="BP6" s="301"/>
      <c r="BQ6" s="301"/>
      <c r="BR6" s="301"/>
      <c r="BS6" s="301"/>
      <c r="BT6" s="301"/>
      <c r="BU6" s="301"/>
      <c r="BV6" s="301"/>
      <c r="BW6" s="301"/>
      <c r="BX6" s="301"/>
      <c r="BY6" s="301"/>
      <c r="BZ6" s="301"/>
      <c r="CA6" s="301"/>
      <c r="CB6" s="301"/>
      <c r="CC6" s="301"/>
      <c r="CD6" s="301"/>
      <c r="CE6" s="301"/>
      <c r="CF6" s="301"/>
      <c r="CG6" s="301"/>
      <c r="CH6" s="301"/>
      <c r="CI6" s="301"/>
      <c r="CJ6" s="301"/>
      <c r="CK6" s="301"/>
      <c r="CL6" s="301"/>
      <c r="CM6" s="301"/>
      <c r="CN6" s="301"/>
      <c r="CO6" s="301"/>
      <c r="CP6" s="301"/>
      <c r="CQ6" s="301"/>
      <c r="CR6" s="301"/>
      <c r="CS6" s="301"/>
      <c r="CT6" s="301"/>
      <c r="CU6" s="301"/>
      <c r="CV6" s="301"/>
      <c r="CW6" s="301"/>
      <c r="CX6" s="301"/>
      <c r="CY6" s="301"/>
      <c r="CZ6" s="301"/>
      <c r="DA6" s="301"/>
      <c r="DB6" s="301"/>
      <c r="DC6" s="301"/>
      <c r="DD6" s="301"/>
      <c r="DE6" s="301"/>
      <c r="DF6" s="301"/>
      <c r="DG6" s="301"/>
      <c r="DH6" s="301"/>
      <c r="DI6" s="301"/>
      <c r="DJ6" s="301"/>
      <c r="DK6" s="301"/>
      <c r="DL6" s="301"/>
      <c r="DM6" s="301"/>
      <c r="DN6" s="301"/>
      <c r="DO6" s="301"/>
      <c r="DP6" s="301"/>
      <c r="DQ6" s="301"/>
      <c r="DR6" s="301"/>
      <c r="DS6" s="301"/>
      <c r="DT6" s="301"/>
      <c r="DU6" s="301"/>
      <c r="DV6" s="301"/>
      <c r="DW6" s="301"/>
      <c r="DX6" s="301"/>
      <c r="DY6" s="301"/>
      <c r="DZ6" s="301"/>
      <c r="EA6" s="301"/>
      <c r="EB6" s="301"/>
      <c r="EC6" s="301"/>
      <c r="ED6" s="301"/>
      <c r="EE6" s="301"/>
      <c r="EF6" s="301"/>
      <c r="EG6" s="301"/>
      <c r="EH6" s="301"/>
      <c r="EI6" s="301"/>
      <c r="EJ6" s="301"/>
      <c r="EK6" s="301"/>
      <c r="EL6" s="301"/>
      <c r="EM6" s="301"/>
      <c r="EN6" s="301"/>
      <c r="EO6" s="301"/>
      <c r="EP6" s="301"/>
      <c r="EQ6" s="301"/>
      <c r="ER6" s="301"/>
      <c r="ES6" s="301"/>
      <c r="ET6" s="301"/>
      <c r="EU6" s="301"/>
      <c r="EV6" s="301"/>
      <c r="EW6" s="301"/>
      <c r="EX6" s="301"/>
      <c r="EY6" s="301"/>
      <c r="EZ6" s="301"/>
      <c r="FA6" s="301"/>
      <c r="FB6" s="301"/>
      <c r="FC6" s="301"/>
      <c r="FD6" s="301"/>
      <c r="FE6" s="301"/>
      <c r="FF6" s="301"/>
      <c r="FG6" s="301"/>
      <c r="FH6" s="301"/>
      <c r="FI6" s="301"/>
      <c r="FJ6" s="301"/>
      <c r="FK6" s="301"/>
      <c r="FL6" s="301"/>
      <c r="FM6" s="301"/>
      <c r="FN6" s="301"/>
      <c r="FO6" s="301"/>
      <c r="FP6" s="301"/>
      <c r="FQ6" s="301"/>
      <c r="FR6" s="301"/>
      <c r="FS6" s="301"/>
      <c r="FT6" s="301"/>
      <c r="FU6" s="301"/>
      <c r="FV6" s="301"/>
      <c r="FW6" s="301"/>
      <c r="FX6" s="301"/>
      <c r="FY6" s="301"/>
      <c r="FZ6" s="301"/>
      <c r="GA6" s="301"/>
      <c r="GB6" s="301"/>
      <c r="GC6" s="301"/>
      <c r="GD6" s="301"/>
      <c r="GE6" s="301"/>
      <c r="GF6" s="301"/>
      <c r="GG6" s="301"/>
      <c r="GH6" s="301"/>
      <c r="GI6" s="301"/>
      <c r="GJ6" s="301"/>
      <c r="GK6" s="301"/>
      <c r="GL6" s="301"/>
      <c r="GM6" s="301"/>
      <c r="GN6" s="301"/>
      <c r="GO6" s="301"/>
      <c r="GP6" s="301"/>
      <c r="GQ6" s="301"/>
      <c r="GR6" s="301"/>
      <c r="GS6" s="301"/>
      <c r="GT6" s="301"/>
      <c r="GU6" s="301"/>
      <c r="GV6" s="301"/>
      <c r="GW6" s="301"/>
      <c r="GX6" s="301"/>
      <c r="GY6" s="301"/>
      <c r="GZ6" s="301"/>
      <c r="HA6" s="301"/>
      <c r="HB6" s="301"/>
      <c r="HC6" s="301"/>
      <c r="HD6" s="301"/>
      <c r="HE6" s="301"/>
      <c r="HF6" s="301"/>
      <c r="HG6" s="301"/>
      <c r="HH6" s="301"/>
      <c r="HI6" s="301"/>
      <c r="HJ6" s="301"/>
      <c r="HK6" s="301"/>
      <c r="HL6" s="301"/>
      <c r="HM6" s="301"/>
      <c r="HN6" s="301"/>
      <c r="HO6" s="301"/>
      <c r="HP6" s="301"/>
      <c r="HQ6" s="301"/>
      <c r="HR6" s="301"/>
      <c r="HS6" s="301"/>
      <c r="HT6" s="301"/>
      <c r="HU6" s="301"/>
      <c r="HV6" s="301"/>
      <c r="HW6" s="301"/>
      <c r="HX6" s="301"/>
      <c r="HY6" s="301"/>
      <c r="HZ6" s="301"/>
      <c r="IA6" s="301"/>
      <c r="IB6" s="301"/>
      <c r="IC6" s="301"/>
      <c r="ID6" s="301"/>
      <c r="IE6" s="301"/>
      <c r="IF6" s="301"/>
      <c r="IG6" s="301"/>
      <c r="IH6" s="301"/>
      <c r="II6" s="301"/>
      <c r="IJ6" s="301"/>
      <c r="IK6" s="301"/>
      <c r="IL6" s="301"/>
      <c r="IM6" s="301"/>
      <c r="IN6" s="301"/>
      <c r="IO6" s="301"/>
      <c r="IP6" s="301"/>
      <c r="IQ6" s="301"/>
      <c r="IR6" s="301"/>
      <c r="IS6" s="301"/>
      <c r="IT6" s="301"/>
      <c r="IU6" s="301"/>
      <c r="IV6" s="301"/>
      <c r="IW6" s="301"/>
      <c r="IX6" s="301"/>
      <c r="IY6" s="301"/>
      <c r="IZ6" s="301"/>
      <c r="JA6" s="301"/>
      <c r="JB6" s="301"/>
      <c r="JC6" s="301"/>
      <c r="JD6" s="301"/>
      <c r="JE6" s="301"/>
      <c r="JF6" s="301"/>
      <c r="JG6" s="301"/>
      <c r="JH6" s="301"/>
      <c r="JI6" s="301"/>
      <c r="JJ6" s="301"/>
      <c r="JK6" s="301"/>
      <c r="JL6" s="301"/>
      <c r="JM6" s="301"/>
      <c r="JN6" s="301"/>
      <c r="JO6" s="301"/>
      <c r="JP6" s="301"/>
      <c r="JQ6" s="301"/>
      <c r="JR6" s="301"/>
      <c r="JS6" s="301"/>
      <c r="JT6" s="301"/>
      <c r="JU6" s="301"/>
      <c r="JV6" s="301"/>
      <c r="JW6" s="301"/>
      <c r="JX6" s="301"/>
      <c r="JY6" s="301"/>
      <c r="JZ6" s="301"/>
      <c r="KA6" s="301"/>
      <c r="KB6" s="301"/>
      <c r="KC6" s="301"/>
      <c r="KD6" s="301"/>
      <c r="KE6" s="301"/>
      <c r="KF6" s="301"/>
      <c r="KG6" s="301"/>
      <c r="KH6" s="301"/>
      <c r="KI6" s="301"/>
      <c r="KJ6" s="301"/>
      <c r="KK6" s="301"/>
      <c r="KL6" s="301"/>
      <c r="KM6" s="301"/>
      <c r="KN6" s="301"/>
      <c r="KO6" s="301"/>
      <c r="KP6" s="301"/>
      <c r="KQ6" s="301"/>
      <c r="KR6" s="301"/>
      <c r="KS6" s="301"/>
      <c r="KT6" s="301"/>
      <c r="KU6" s="301"/>
      <c r="KV6" s="301"/>
      <c r="KW6" s="301"/>
      <c r="KX6" s="301"/>
      <c r="KY6" s="301"/>
      <c r="KZ6" s="301"/>
      <c r="LA6" s="301"/>
      <c r="LB6" s="301"/>
      <c r="LC6" s="301"/>
      <c r="LD6" s="301"/>
      <c r="LE6" s="301"/>
      <c r="LF6" s="301"/>
      <c r="LG6" s="301"/>
      <c r="LH6" s="301"/>
      <c r="LI6" s="301"/>
      <c r="LJ6" s="301"/>
      <c r="LK6" s="301"/>
      <c r="LL6" s="301"/>
      <c r="LM6" s="301"/>
      <c r="LN6" s="301"/>
      <c r="LO6" s="301"/>
      <c r="LP6" s="301"/>
      <c r="LQ6" s="301"/>
      <c r="LR6" s="301"/>
      <c r="LS6" s="301"/>
      <c r="LT6" s="301"/>
      <c r="LU6" s="301"/>
      <c r="LV6" s="301"/>
      <c r="LW6" s="301"/>
      <c r="LX6" s="301"/>
      <c r="LY6" s="301"/>
      <c r="LZ6" s="301"/>
      <c r="MA6" s="301"/>
      <c r="MB6" s="301"/>
      <c r="MC6" s="301"/>
      <c r="MD6" s="301"/>
      <c r="ME6" s="301"/>
      <c r="MF6" s="301"/>
      <c r="MG6" s="301"/>
      <c r="MH6" s="301"/>
      <c r="MI6" s="301"/>
      <c r="MJ6" s="301"/>
      <c r="MK6" s="301"/>
      <c r="ML6" s="301"/>
      <c r="MM6" s="301"/>
      <c r="MN6" s="301"/>
      <c r="MO6" s="301"/>
      <c r="MP6" s="301"/>
      <c r="MQ6" s="301"/>
      <c r="MR6" s="301"/>
      <c r="MS6" s="301"/>
      <c r="MT6" s="301"/>
      <c r="MU6" s="301"/>
      <c r="MV6" s="301"/>
      <c r="MW6" s="301"/>
      <c r="MX6" s="301"/>
      <c r="MY6" s="301"/>
      <c r="MZ6" s="301"/>
      <c r="NA6" s="301"/>
      <c r="NB6" s="301"/>
      <c r="NC6" s="301"/>
      <c r="ND6" s="301"/>
      <c r="NE6" s="301"/>
      <c r="NF6" s="301"/>
      <c r="NG6" s="301"/>
      <c r="NH6" s="301"/>
      <c r="NI6" s="301"/>
      <c r="NJ6" s="301"/>
      <c r="NK6" s="301"/>
      <c r="NL6" s="301"/>
      <c r="NM6" s="301"/>
      <c r="NN6" s="301"/>
      <c r="NO6" s="301"/>
      <c r="NP6" s="301"/>
      <c r="NQ6" s="301"/>
      <c r="NR6" s="301"/>
      <c r="NS6" s="301"/>
      <c r="NT6" s="301"/>
      <c r="NU6" s="301"/>
      <c r="NV6" s="301"/>
      <c r="NW6" s="301"/>
      <c r="NX6" s="301"/>
      <c r="NY6" s="301"/>
      <c r="NZ6" s="301"/>
      <c r="OA6" s="301"/>
      <c r="OB6" s="301"/>
      <c r="OC6" s="301"/>
      <c r="OD6" s="301"/>
      <c r="OE6" s="301"/>
      <c r="OF6" s="301"/>
      <c r="OG6" s="301"/>
      <c r="OH6" s="301"/>
      <c r="OI6" s="301"/>
      <c r="OJ6" s="301"/>
      <c r="OK6" s="301"/>
      <c r="OL6" s="301"/>
      <c r="OM6" s="301"/>
      <c r="ON6" s="301"/>
      <c r="OO6" s="301"/>
      <c r="OP6" s="301"/>
      <c r="OQ6" s="301"/>
      <c r="OR6" s="301"/>
      <c r="OS6" s="301"/>
      <c r="OT6" s="301"/>
      <c r="OU6" s="301"/>
      <c r="OV6" s="301"/>
      <c r="OW6" s="301"/>
      <c r="OX6" s="301"/>
      <c r="OY6" s="301"/>
      <c r="OZ6" s="301"/>
      <c r="PA6" s="301"/>
      <c r="PB6" s="301"/>
      <c r="PC6" s="301"/>
      <c r="PD6" s="301"/>
      <c r="PE6" s="301"/>
      <c r="PF6" s="301"/>
      <c r="PG6" s="301"/>
      <c r="PH6" s="301"/>
      <c r="PI6" s="301"/>
      <c r="PJ6" s="301"/>
      <c r="PK6" s="301"/>
      <c r="PL6" s="301"/>
      <c r="PM6" s="301"/>
      <c r="PN6" s="301"/>
      <c r="PO6" s="301"/>
      <c r="PP6" s="301"/>
      <c r="PQ6" s="301"/>
      <c r="PR6" s="301"/>
      <c r="PS6" s="301"/>
      <c r="PT6" s="301"/>
      <c r="PU6" s="301"/>
      <c r="PV6" s="301"/>
      <c r="PW6" s="301"/>
      <c r="PX6" s="301"/>
      <c r="PY6" s="301"/>
      <c r="PZ6" s="301"/>
      <c r="QA6" s="301"/>
      <c r="QB6" s="301"/>
      <c r="QC6" s="301"/>
      <c r="QD6" s="301"/>
      <c r="QE6" s="301"/>
      <c r="QF6" s="301"/>
      <c r="QG6" s="301"/>
      <c r="QH6" s="301"/>
      <c r="QI6" s="301"/>
      <c r="QJ6" s="301"/>
      <c r="QK6" s="301"/>
      <c r="QL6" s="301"/>
      <c r="QM6" s="301"/>
      <c r="QN6" s="301"/>
      <c r="QO6" s="301"/>
      <c r="QP6" s="301"/>
      <c r="QQ6" s="301"/>
      <c r="QR6" s="301"/>
      <c r="QS6" s="301"/>
      <c r="QT6" s="301"/>
      <c r="QU6" s="301"/>
      <c r="QV6" s="301"/>
      <c r="QW6" s="301"/>
      <c r="QX6" s="301"/>
      <c r="QY6" s="301"/>
      <c r="QZ6" s="301"/>
      <c r="RA6" s="301"/>
      <c r="RB6" s="301"/>
      <c r="RC6" s="301"/>
      <c r="RD6" s="301"/>
      <c r="RE6" s="301"/>
      <c r="RF6" s="301"/>
      <c r="RG6" s="301"/>
      <c r="RH6" s="301"/>
      <c r="RI6" s="301"/>
      <c r="RJ6" s="301"/>
      <c r="RK6" s="301"/>
      <c r="RL6" s="301"/>
      <c r="RM6" s="301"/>
      <c r="RN6" s="301"/>
      <c r="RO6" s="301"/>
      <c r="RP6" s="301"/>
      <c r="RQ6" s="301"/>
      <c r="RR6" s="301"/>
      <c r="RS6" s="301"/>
      <c r="RT6" s="301"/>
      <c r="RU6" s="301"/>
      <c r="RV6" s="301"/>
      <c r="RW6" s="301"/>
      <c r="RX6" s="301"/>
      <c r="RY6" s="301"/>
      <c r="RZ6" s="301"/>
      <c r="SA6" s="301"/>
      <c r="SB6" s="301"/>
      <c r="SC6" s="301"/>
      <c r="SD6" s="301"/>
      <c r="SE6" s="301"/>
      <c r="SF6" s="301"/>
      <c r="SG6" s="301"/>
      <c r="SH6" s="301"/>
      <c r="SI6" s="301"/>
      <c r="SJ6" s="301"/>
      <c r="SK6" s="301"/>
      <c r="SL6" s="301"/>
      <c r="SM6" s="301"/>
      <c r="SN6" s="301"/>
      <c r="SO6" s="301"/>
      <c r="SP6" s="301"/>
      <c r="SQ6" s="301"/>
      <c r="SR6" s="301"/>
      <c r="SS6" s="301"/>
      <c r="ST6" s="301"/>
      <c r="SU6" s="301"/>
      <c r="SV6" s="301"/>
      <c r="SW6" s="301"/>
      <c r="SX6" s="301"/>
      <c r="SY6" s="301"/>
      <c r="SZ6" s="301"/>
      <c r="TA6" s="301"/>
      <c r="TB6" s="301"/>
      <c r="TC6" s="301"/>
      <c r="TD6" s="301"/>
      <c r="TE6" s="301"/>
      <c r="TF6" s="301"/>
      <c r="TG6" s="301"/>
      <c r="TH6" s="301"/>
      <c r="TI6" s="301"/>
      <c r="TJ6" s="301"/>
      <c r="TK6" s="301"/>
      <c r="TL6" s="301"/>
      <c r="TM6" s="301"/>
      <c r="TN6" s="301"/>
      <c r="TO6" s="301"/>
      <c r="TP6" s="301"/>
      <c r="TQ6" s="301"/>
      <c r="TR6" s="301"/>
      <c r="TS6" s="301"/>
      <c r="TT6" s="301"/>
      <c r="TU6" s="301"/>
      <c r="TV6" s="301"/>
      <c r="TW6" s="301"/>
      <c r="TX6" s="301"/>
      <c r="TY6" s="301"/>
      <c r="TZ6" s="301"/>
      <c r="UA6" s="301"/>
      <c r="UB6" s="301"/>
      <c r="UC6" s="301"/>
      <c r="UD6" s="301"/>
      <c r="UE6" s="301"/>
      <c r="UF6" s="301"/>
      <c r="UG6" s="301"/>
      <c r="UH6" s="301"/>
      <c r="UI6" s="301"/>
      <c r="UJ6" s="301"/>
      <c r="UK6" s="301"/>
      <c r="UL6" s="301"/>
      <c r="UM6" s="301"/>
      <c r="UN6" s="301"/>
      <c r="UO6" s="301"/>
      <c r="UP6" s="301"/>
      <c r="UQ6" s="301"/>
      <c r="UR6" s="301"/>
      <c r="US6" s="301"/>
      <c r="UT6" s="301"/>
      <c r="UU6" s="301"/>
      <c r="UV6" s="301"/>
      <c r="UW6" s="301"/>
      <c r="UX6" s="301"/>
      <c r="UY6" s="301"/>
      <c r="UZ6" s="301"/>
      <c r="VA6" s="301"/>
      <c r="VB6" s="301"/>
      <c r="VC6" s="301"/>
      <c r="VD6" s="301"/>
      <c r="VE6" s="301"/>
      <c r="VF6" s="301"/>
      <c r="VG6" s="301"/>
      <c r="VH6" s="301"/>
      <c r="VI6" s="301"/>
      <c r="VJ6" s="301"/>
      <c r="VK6" s="301"/>
      <c r="VL6" s="301"/>
      <c r="VM6" s="301"/>
      <c r="VN6" s="301"/>
      <c r="VO6" s="301"/>
      <c r="VP6" s="301"/>
      <c r="VQ6" s="301"/>
      <c r="VR6" s="301"/>
      <c r="VS6" s="301"/>
      <c r="VT6" s="301"/>
      <c r="VU6" s="301"/>
      <c r="VV6" s="301"/>
      <c r="VW6" s="301"/>
      <c r="VX6" s="301"/>
      <c r="VY6" s="301"/>
      <c r="VZ6" s="301"/>
      <c r="WA6" s="301"/>
      <c r="WB6" s="301"/>
      <c r="WC6" s="301"/>
      <c r="WD6" s="301"/>
      <c r="WE6" s="301"/>
      <c r="WF6" s="301"/>
      <c r="WG6" s="301"/>
      <c r="WH6" s="301"/>
      <c r="WI6" s="301"/>
      <c r="WJ6" s="301"/>
      <c r="WK6" s="301"/>
      <c r="WL6" s="301"/>
      <c r="WM6" s="301"/>
      <c r="WN6" s="301"/>
      <c r="WO6" s="301"/>
      <c r="WP6" s="301"/>
      <c r="WQ6" s="301"/>
      <c r="WR6" s="301"/>
      <c r="WS6" s="301"/>
      <c r="WT6" s="301"/>
      <c r="WU6" s="301"/>
      <c r="WV6" s="301"/>
      <c r="WW6" s="301"/>
      <c r="WX6" s="301"/>
      <c r="WY6" s="301"/>
      <c r="WZ6" s="301"/>
      <c r="XA6" s="301"/>
      <c r="XB6" s="301"/>
      <c r="XC6" s="301"/>
      <c r="XD6" s="301"/>
      <c r="XE6" s="301"/>
      <c r="XF6" s="301"/>
      <c r="XG6" s="301"/>
      <c r="XH6" s="301"/>
      <c r="XI6" s="301"/>
      <c r="XJ6" s="301"/>
      <c r="XK6" s="301"/>
      <c r="XL6" s="301"/>
      <c r="XM6" s="301"/>
      <c r="XN6" s="301"/>
      <c r="XO6" s="301"/>
      <c r="XP6" s="301"/>
      <c r="XQ6" s="301"/>
      <c r="XR6" s="301"/>
      <c r="XS6" s="301"/>
      <c r="XT6" s="301"/>
      <c r="XU6" s="301"/>
      <c r="XV6" s="301"/>
      <c r="XW6" s="301"/>
      <c r="XX6" s="301"/>
      <c r="XY6" s="301"/>
      <c r="XZ6" s="301"/>
      <c r="YA6" s="301"/>
      <c r="YB6" s="301"/>
      <c r="YC6" s="301"/>
      <c r="YD6" s="301"/>
      <c r="YE6" s="301"/>
      <c r="YF6" s="301"/>
      <c r="YG6" s="301"/>
      <c r="YH6" s="301"/>
      <c r="YI6" s="301"/>
      <c r="YJ6" s="301"/>
      <c r="YK6" s="301"/>
      <c r="YL6" s="301"/>
      <c r="YM6" s="301"/>
      <c r="YN6" s="301"/>
      <c r="YO6" s="301"/>
      <c r="YP6" s="301"/>
      <c r="YQ6" s="301"/>
      <c r="YR6" s="301"/>
      <c r="YS6" s="301"/>
      <c r="YT6" s="301"/>
      <c r="YU6" s="301"/>
      <c r="YV6" s="301"/>
      <c r="YW6" s="301"/>
      <c r="YX6" s="301"/>
      <c r="YY6" s="301"/>
      <c r="YZ6" s="301"/>
      <c r="ZA6" s="301"/>
      <c r="ZB6" s="301"/>
      <c r="ZC6" s="301"/>
      <c r="ZD6" s="301"/>
      <c r="ZE6" s="301"/>
      <c r="ZF6" s="301"/>
      <c r="ZG6" s="301"/>
      <c r="ZH6" s="301"/>
      <c r="ZI6" s="301"/>
      <c r="ZJ6" s="301"/>
      <c r="ZK6" s="301"/>
      <c r="ZL6" s="301"/>
      <c r="ZM6" s="301"/>
      <c r="ZN6" s="301"/>
      <c r="ZO6" s="301"/>
      <c r="ZP6" s="301"/>
      <c r="ZQ6" s="301"/>
      <c r="ZR6" s="301"/>
      <c r="ZS6" s="301"/>
      <c r="ZT6" s="301"/>
      <c r="ZU6" s="301"/>
      <c r="ZV6" s="301"/>
      <c r="ZW6" s="301"/>
      <c r="ZX6" s="301"/>
      <c r="ZY6" s="301"/>
      <c r="ZZ6" s="301"/>
      <c r="AAA6" s="301"/>
      <c r="AAB6" s="301"/>
      <c r="AAC6" s="301"/>
      <c r="AAD6" s="301"/>
      <c r="AAE6" s="301"/>
      <c r="AAF6" s="301"/>
      <c r="AAG6" s="301"/>
      <c r="AAH6" s="301"/>
      <c r="AAI6" s="301"/>
      <c r="AAJ6" s="301"/>
      <c r="AAK6" s="301"/>
      <c r="AAL6" s="301"/>
      <c r="AAM6" s="301"/>
      <c r="AAN6" s="301"/>
      <c r="AAO6" s="301"/>
      <c r="AAP6" s="301"/>
      <c r="AAQ6" s="301"/>
      <c r="AAR6" s="301"/>
      <c r="AAS6" s="301"/>
      <c r="AAT6" s="301"/>
      <c r="AAU6" s="301"/>
      <c r="AAV6" s="301"/>
      <c r="AAW6" s="301"/>
      <c r="AAX6" s="301"/>
      <c r="AAY6" s="301"/>
      <c r="AAZ6" s="301"/>
      <c r="ABA6" s="301"/>
      <c r="ABB6" s="301"/>
      <c r="ABC6" s="301"/>
      <c r="ABD6" s="301"/>
      <c r="ABE6" s="301"/>
      <c r="ABF6" s="301"/>
      <c r="ABG6" s="301"/>
      <c r="ABH6" s="301"/>
      <c r="ABI6" s="301"/>
      <c r="ABJ6" s="301"/>
      <c r="ABK6" s="301"/>
      <c r="ABL6" s="301"/>
      <c r="ABM6" s="301"/>
      <c r="ABN6" s="301"/>
      <c r="ABO6" s="301"/>
      <c r="ABP6" s="301"/>
      <c r="ABQ6" s="301"/>
      <c r="ABR6" s="301"/>
      <c r="ABS6" s="301"/>
      <c r="ABT6" s="301"/>
      <c r="ABU6" s="301"/>
      <c r="ABV6" s="301"/>
      <c r="ABW6" s="301"/>
      <c r="ABX6" s="301"/>
      <c r="ABY6" s="301"/>
      <c r="ABZ6" s="301"/>
      <c r="ACA6" s="301"/>
      <c r="ACB6" s="301"/>
      <c r="ACC6" s="301"/>
      <c r="ACD6" s="301"/>
      <c r="ACE6" s="301"/>
      <c r="ACF6" s="301"/>
      <c r="ACG6" s="301"/>
      <c r="ACH6" s="301"/>
      <c r="ACI6" s="301"/>
      <c r="ACJ6" s="301"/>
      <c r="ACK6" s="301"/>
      <c r="ACL6" s="301"/>
      <c r="ACM6" s="301"/>
      <c r="ACN6" s="301"/>
      <c r="ACO6" s="301"/>
      <c r="ACP6" s="301"/>
      <c r="ACQ6" s="301"/>
      <c r="ACR6" s="301"/>
      <c r="ACS6" s="301"/>
      <c r="ACT6" s="301"/>
      <c r="ACU6" s="301"/>
      <c r="ACV6" s="301"/>
      <c r="ACW6" s="301"/>
      <c r="ACX6" s="301"/>
      <c r="ACY6" s="301"/>
      <c r="ACZ6" s="301"/>
      <c r="ADA6" s="301"/>
      <c r="ADB6" s="301"/>
      <c r="ADC6" s="301"/>
      <c r="ADD6" s="301"/>
      <c r="ADE6" s="301"/>
      <c r="ADF6" s="301"/>
      <c r="ADG6" s="301"/>
      <c r="ADH6" s="301"/>
      <c r="ADI6" s="301"/>
      <c r="ADJ6" s="301"/>
      <c r="ADK6" s="301"/>
      <c r="ADL6" s="301"/>
      <c r="ADM6" s="301"/>
      <c r="ADN6" s="301"/>
      <c r="ADO6" s="301"/>
      <c r="ADP6" s="301"/>
      <c r="ADQ6" s="301"/>
      <c r="ADR6" s="301"/>
      <c r="ADS6" s="301"/>
      <c r="ADT6" s="301"/>
      <c r="ADU6" s="301"/>
      <c r="ADV6" s="301"/>
      <c r="ADW6" s="301"/>
      <c r="ADX6" s="301"/>
      <c r="ADY6" s="301"/>
      <c r="ADZ6" s="301"/>
      <c r="AEA6" s="301"/>
      <c r="AEB6" s="301"/>
      <c r="AEC6" s="301"/>
      <c r="AED6" s="301"/>
      <c r="AEE6" s="301"/>
      <c r="AEF6" s="301"/>
      <c r="AEG6" s="301"/>
      <c r="AEH6" s="301"/>
      <c r="AEI6" s="301"/>
      <c r="AEJ6" s="301"/>
      <c r="AEK6" s="301"/>
      <c r="AEL6" s="301"/>
      <c r="AEM6" s="301"/>
      <c r="AEN6" s="301"/>
      <c r="AEO6" s="301"/>
      <c r="AEP6" s="301"/>
      <c r="AEQ6" s="301"/>
      <c r="AER6" s="301"/>
      <c r="AES6" s="301"/>
      <c r="AET6" s="301"/>
      <c r="AEU6" s="301"/>
      <c r="AEV6" s="301"/>
      <c r="AEW6" s="301"/>
      <c r="AEX6" s="301"/>
      <c r="AEY6" s="301"/>
      <c r="AEZ6" s="301"/>
      <c r="AFA6" s="301"/>
      <c r="AFB6" s="301"/>
      <c r="AFC6" s="301"/>
      <c r="AFD6" s="301"/>
      <c r="AFE6" s="301"/>
      <c r="AFF6" s="301"/>
      <c r="AFG6" s="301"/>
      <c r="AFH6" s="301"/>
      <c r="AFI6" s="301"/>
      <c r="AFJ6" s="301"/>
      <c r="AFK6" s="301"/>
      <c r="AFL6" s="301"/>
      <c r="AFM6" s="301"/>
      <c r="AFN6" s="301"/>
      <c r="AFO6" s="301"/>
      <c r="AFP6" s="301"/>
      <c r="AFQ6" s="301"/>
      <c r="AFR6" s="301"/>
      <c r="AFS6" s="301"/>
      <c r="AFT6" s="301"/>
      <c r="AFU6" s="301"/>
      <c r="AFV6" s="301"/>
      <c r="AFW6" s="301"/>
      <c r="AFX6" s="301"/>
      <c r="AFY6" s="301"/>
      <c r="AFZ6" s="301"/>
      <c r="AGA6" s="301"/>
      <c r="AGB6" s="301"/>
      <c r="AGC6" s="301"/>
      <c r="AGD6" s="301"/>
      <c r="AGE6" s="301"/>
      <c r="AGF6" s="301"/>
      <c r="AGG6" s="301"/>
      <c r="AGH6" s="301"/>
      <c r="AGI6" s="301"/>
      <c r="AGJ6" s="301"/>
      <c r="AGK6" s="301"/>
      <c r="AGL6" s="301"/>
      <c r="AGM6" s="301"/>
      <c r="AGN6" s="301"/>
      <c r="AGO6" s="301"/>
      <c r="AGP6" s="301"/>
      <c r="AGQ6" s="301"/>
      <c r="AGR6" s="301"/>
      <c r="AGS6" s="301"/>
      <c r="AGT6" s="301"/>
      <c r="AGU6" s="301"/>
      <c r="AGV6" s="301"/>
      <c r="AGW6" s="301"/>
      <c r="AGX6" s="301"/>
      <c r="AGY6" s="301"/>
      <c r="AGZ6" s="301"/>
      <c r="AHA6" s="301"/>
      <c r="AHB6" s="301"/>
      <c r="AHC6" s="301"/>
      <c r="AHD6" s="301"/>
      <c r="AHE6" s="301"/>
      <c r="AHF6" s="301"/>
      <c r="AHG6" s="301"/>
      <c r="AHH6" s="301"/>
      <c r="AHI6" s="301"/>
      <c r="AHJ6" s="301"/>
      <c r="AHK6" s="301"/>
      <c r="AHL6" s="301"/>
      <c r="AHM6" s="301"/>
      <c r="AHN6" s="301"/>
      <c r="AHO6" s="301"/>
      <c r="AHP6" s="301"/>
      <c r="AHQ6" s="301"/>
      <c r="AHR6" s="301"/>
      <c r="AHS6" s="301"/>
      <c r="AHT6" s="301"/>
      <c r="AHU6" s="301"/>
      <c r="AHV6" s="301"/>
      <c r="AHW6" s="301"/>
      <c r="AHX6" s="301"/>
      <c r="AHY6" s="301"/>
      <c r="AHZ6" s="301"/>
      <c r="AIA6" s="301"/>
      <c r="AIB6" s="301"/>
      <c r="AIC6" s="301"/>
      <c r="AID6" s="301"/>
      <c r="AIE6" s="301"/>
      <c r="AIF6" s="301"/>
      <c r="AIG6" s="301"/>
      <c r="AIH6" s="301"/>
      <c r="AII6" s="301"/>
      <c r="AIJ6" s="301"/>
      <c r="AIK6" s="301"/>
      <c r="AIL6" s="301"/>
      <c r="AIM6" s="301"/>
      <c r="AIN6" s="301"/>
      <c r="AIO6" s="301"/>
      <c r="AIP6" s="301"/>
      <c r="AIQ6" s="301"/>
      <c r="AIR6" s="301"/>
      <c r="AIS6" s="301"/>
      <c r="AIT6" s="301"/>
      <c r="AIU6" s="301"/>
      <c r="AIV6" s="301"/>
      <c r="AIW6" s="301"/>
      <c r="AIX6" s="301"/>
      <c r="AIY6" s="301"/>
      <c r="AIZ6" s="301"/>
      <c r="AJA6" s="301"/>
      <c r="AJB6" s="301"/>
      <c r="AJC6" s="301"/>
      <c r="AJD6" s="301"/>
      <c r="AJE6" s="301"/>
      <c r="AJF6" s="301"/>
      <c r="AJG6" s="301"/>
      <c r="AJH6" s="301"/>
      <c r="AJI6" s="301"/>
      <c r="AJJ6" s="301"/>
      <c r="AJK6" s="301"/>
      <c r="AJL6" s="301"/>
      <c r="AJM6" s="301"/>
      <c r="AJN6" s="301"/>
      <c r="AJO6" s="301"/>
      <c r="AJP6" s="301"/>
      <c r="AJQ6" s="301"/>
      <c r="AJR6" s="301"/>
      <c r="AJS6" s="301"/>
      <c r="AJT6" s="301"/>
      <c r="AJU6" s="301"/>
      <c r="AJV6" s="301"/>
      <c r="AJW6" s="301"/>
      <c r="AJX6" s="301"/>
      <c r="AJY6" s="301"/>
      <c r="AJZ6" s="301"/>
      <c r="AKA6" s="301"/>
      <c r="AKB6" s="301"/>
      <c r="AKC6" s="301"/>
      <c r="AKD6" s="301"/>
      <c r="AKE6" s="301"/>
      <c r="AKF6" s="301"/>
      <c r="AKG6" s="301"/>
      <c r="AKH6" s="301"/>
      <c r="AKI6" s="301"/>
      <c r="AKJ6" s="301"/>
      <c r="AKK6" s="301"/>
      <c r="AKL6" s="301"/>
      <c r="AKM6" s="301"/>
      <c r="AKN6" s="301"/>
      <c r="AKO6" s="301"/>
      <c r="AKP6" s="301"/>
      <c r="AKQ6" s="301"/>
      <c r="AKR6" s="301"/>
      <c r="AKS6" s="301"/>
      <c r="AKT6" s="301"/>
      <c r="AKU6" s="301"/>
      <c r="AKV6" s="301"/>
      <c r="AKW6" s="301"/>
      <c r="AKX6" s="301"/>
      <c r="AKY6" s="301"/>
      <c r="AKZ6" s="301"/>
      <c r="ALA6" s="301"/>
      <c r="ALB6" s="301"/>
      <c r="ALC6" s="301"/>
      <c r="ALD6" s="301"/>
      <c r="ALE6" s="301"/>
      <c r="ALF6" s="301"/>
      <c r="ALG6" s="301"/>
      <c r="ALH6" s="301"/>
      <c r="ALI6" s="301"/>
      <c r="ALJ6" s="301"/>
      <c r="ALK6" s="301"/>
      <c r="ALL6" s="301"/>
      <c r="ALM6" s="301"/>
      <c r="ALN6" s="301"/>
      <c r="ALO6" s="301"/>
      <c r="ALP6" s="301"/>
      <c r="ALQ6" s="301"/>
      <c r="ALR6" s="301"/>
      <c r="ALS6" s="301"/>
      <c r="ALT6" s="301"/>
      <c r="ALU6" s="301"/>
      <c r="ALV6" s="301"/>
      <c r="ALW6" s="301"/>
      <c r="ALX6" s="301"/>
      <c r="ALY6" s="301"/>
      <c r="ALZ6" s="301"/>
      <c r="AMA6" s="301"/>
      <c r="AMB6" s="301"/>
      <c r="AMC6" s="301"/>
      <c r="AMD6" s="301"/>
      <c r="AME6" s="301"/>
      <c r="AMF6" s="301"/>
      <c r="AMG6" s="301"/>
      <c r="AMH6" s="301"/>
      <c r="AMI6" s="301"/>
      <c r="AMJ6" s="301"/>
    </row>
    <row r="7" customFormat="false" ht="12.8" hidden="false" customHeight="false" outlineLevel="0" collapsed="false">
      <c r="A7" s="299" t="s">
        <v>187</v>
      </c>
      <c r="B7" s="303" t="n">
        <f aca="false">Worksheet!D19</f>
        <v>61.05</v>
      </c>
      <c r="C7" s="301"/>
      <c r="D7" s="301"/>
      <c r="E7" s="301"/>
      <c r="F7" s="301"/>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301"/>
      <c r="AZ7" s="301"/>
      <c r="BA7" s="301"/>
      <c r="BB7" s="301"/>
      <c r="BC7" s="301"/>
      <c r="BD7" s="301"/>
      <c r="BE7" s="301"/>
      <c r="BF7" s="301"/>
      <c r="BG7" s="301"/>
      <c r="BH7" s="301"/>
      <c r="BI7" s="301"/>
      <c r="BJ7" s="301"/>
      <c r="BK7" s="301"/>
      <c r="BL7" s="301"/>
      <c r="BM7" s="301"/>
      <c r="BN7" s="301"/>
      <c r="BO7" s="301"/>
      <c r="BP7" s="301"/>
      <c r="BQ7" s="301"/>
      <c r="BR7" s="301"/>
      <c r="BS7" s="301"/>
      <c r="BT7" s="301"/>
      <c r="BU7" s="301"/>
      <c r="BV7" s="301"/>
      <c r="BW7" s="301"/>
      <c r="BX7" s="301"/>
      <c r="BY7" s="301"/>
      <c r="BZ7" s="301"/>
      <c r="CA7" s="301"/>
      <c r="CB7" s="301"/>
      <c r="CC7" s="301"/>
      <c r="CD7" s="301"/>
      <c r="CE7" s="301"/>
      <c r="CF7" s="301"/>
      <c r="CG7" s="301"/>
      <c r="CH7" s="301"/>
      <c r="CI7" s="301"/>
      <c r="CJ7" s="301"/>
      <c r="CK7" s="301"/>
      <c r="CL7" s="301"/>
      <c r="CM7" s="301"/>
      <c r="CN7" s="301"/>
      <c r="CO7" s="301"/>
      <c r="CP7" s="301"/>
      <c r="CQ7" s="301"/>
      <c r="CR7" s="301"/>
      <c r="CS7" s="301"/>
      <c r="CT7" s="301"/>
      <c r="CU7" s="301"/>
      <c r="CV7" s="301"/>
      <c r="CW7" s="301"/>
      <c r="CX7" s="301"/>
      <c r="CY7" s="301"/>
      <c r="CZ7" s="301"/>
      <c r="DA7" s="301"/>
      <c r="DB7" s="301"/>
      <c r="DC7" s="301"/>
      <c r="DD7" s="301"/>
      <c r="DE7" s="301"/>
      <c r="DF7" s="301"/>
      <c r="DG7" s="301"/>
      <c r="DH7" s="301"/>
      <c r="DI7" s="301"/>
      <c r="DJ7" s="301"/>
      <c r="DK7" s="301"/>
      <c r="DL7" s="301"/>
      <c r="DM7" s="301"/>
      <c r="DN7" s="301"/>
      <c r="DO7" s="301"/>
      <c r="DP7" s="301"/>
      <c r="DQ7" s="301"/>
      <c r="DR7" s="301"/>
      <c r="DS7" s="301"/>
      <c r="DT7" s="301"/>
      <c r="DU7" s="301"/>
      <c r="DV7" s="301"/>
      <c r="DW7" s="301"/>
      <c r="DX7" s="301"/>
      <c r="DY7" s="301"/>
      <c r="DZ7" s="301"/>
      <c r="EA7" s="301"/>
      <c r="EB7" s="301"/>
      <c r="EC7" s="301"/>
      <c r="ED7" s="301"/>
      <c r="EE7" s="301"/>
      <c r="EF7" s="301"/>
      <c r="EG7" s="301"/>
      <c r="EH7" s="301"/>
      <c r="EI7" s="301"/>
      <c r="EJ7" s="301"/>
      <c r="EK7" s="301"/>
      <c r="EL7" s="301"/>
      <c r="EM7" s="301"/>
      <c r="EN7" s="301"/>
      <c r="EO7" s="301"/>
      <c r="EP7" s="301"/>
      <c r="EQ7" s="301"/>
      <c r="ER7" s="301"/>
      <c r="ES7" s="301"/>
      <c r="ET7" s="301"/>
      <c r="EU7" s="301"/>
      <c r="EV7" s="301"/>
      <c r="EW7" s="301"/>
      <c r="EX7" s="301"/>
      <c r="EY7" s="301"/>
      <c r="EZ7" s="301"/>
      <c r="FA7" s="301"/>
      <c r="FB7" s="301"/>
      <c r="FC7" s="301"/>
      <c r="FD7" s="301"/>
      <c r="FE7" s="301"/>
      <c r="FF7" s="301"/>
      <c r="FG7" s="301"/>
      <c r="FH7" s="301"/>
      <c r="FI7" s="301"/>
      <c r="FJ7" s="301"/>
      <c r="FK7" s="301"/>
      <c r="FL7" s="301"/>
      <c r="FM7" s="301"/>
      <c r="FN7" s="301"/>
      <c r="FO7" s="301"/>
      <c r="FP7" s="301"/>
      <c r="FQ7" s="301"/>
      <c r="FR7" s="301"/>
      <c r="FS7" s="301"/>
      <c r="FT7" s="301"/>
      <c r="FU7" s="301"/>
      <c r="FV7" s="301"/>
      <c r="FW7" s="301"/>
      <c r="FX7" s="301"/>
      <c r="FY7" s="301"/>
      <c r="FZ7" s="301"/>
      <c r="GA7" s="301"/>
      <c r="GB7" s="301"/>
      <c r="GC7" s="301"/>
      <c r="GD7" s="301"/>
      <c r="GE7" s="301"/>
      <c r="GF7" s="301"/>
      <c r="GG7" s="301"/>
      <c r="GH7" s="301"/>
      <c r="GI7" s="301"/>
      <c r="GJ7" s="301"/>
      <c r="GK7" s="301"/>
      <c r="GL7" s="301"/>
      <c r="GM7" s="301"/>
      <c r="GN7" s="301"/>
      <c r="GO7" s="301"/>
      <c r="GP7" s="301"/>
      <c r="GQ7" s="301"/>
      <c r="GR7" s="301"/>
      <c r="GS7" s="301"/>
      <c r="GT7" s="301"/>
      <c r="GU7" s="301"/>
      <c r="GV7" s="301"/>
      <c r="GW7" s="301"/>
      <c r="GX7" s="301"/>
      <c r="GY7" s="301"/>
      <c r="GZ7" s="301"/>
      <c r="HA7" s="301"/>
      <c r="HB7" s="301"/>
      <c r="HC7" s="301"/>
      <c r="HD7" s="301"/>
      <c r="HE7" s="301"/>
      <c r="HF7" s="301"/>
      <c r="HG7" s="301"/>
      <c r="HH7" s="301"/>
      <c r="HI7" s="301"/>
      <c r="HJ7" s="301"/>
      <c r="HK7" s="301"/>
      <c r="HL7" s="301"/>
      <c r="HM7" s="301"/>
      <c r="HN7" s="301"/>
      <c r="HO7" s="301"/>
      <c r="HP7" s="301"/>
      <c r="HQ7" s="301"/>
      <c r="HR7" s="301"/>
      <c r="HS7" s="301"/>
      <c r="HT7" s="301"/>
      <c r="HU7" s="301"/>
      <c r="HV7" s="301"/>
      <c r="HW7" s="301"/>
      <c r="HX7" s="301"/>
      <c r="HY7" s="301"/>
      <c r="HZ7" s="301"/>
      <c r="IA7" s="301"/>
      <c r="IB7" s="301"/>
      <c r="IC7" s="301"/>
      <c r="ID7" s="301"/>
      <c r="IE7" s="301"/>
      <c r="IF7" s="301"/>
      <c r="IG7" s="301"/>
      <c r="IH7" s="301"/>
      <c r="II7" s="301"/>
      <c r="IJ7" s="301"/>
      <c r="IK7" s="301"/>
      <c r="IL7" s="301"/>
      <c r="IM7" s="301"/>
      <c r="IN7" s="301"/>
      <c r="IO7" s="301"/>
      <c r="IP7" s="301"/>
      <c r="IQ7" s="301"/>
      <c r="IR7" s="301"/>
      <c r="IS7" s="301"/>
      <c r="IT7" s="301"/>
      <c r="IU7" s="301"/>
      <c r="IV7" s="301"/>
      <c r="IW7" s="301"/>
      <c r="IX7" s="301"/>
      <c r="IY7" s="301"/>
      <c r="IZ7" s="301"/>
      <c r="JA7" s="301"/>
      <c r="JB7" s="301"/>
      <c r="JC7" s="301"/>
      <c r="JD7" s="301"/>
      <c r="JE7" s="301"/>
      <c r="JF7" s="301"/>
      <c r="JG7" s="301"/>
      <c r="JH7" s="301"/>
      <c r="JI7" s="301"/>
      <c r="JJ7" s="301"/>
      <c r="JK7" s="301"/>
      <c r="JL7" s="301"/>
      <c r="JM7" s="301"/>
      <c r="JN7" s="301"/>
      <c r="JO7" s="301"/>
      <c r="JP7" s="301"/>
      <c r="JQ7" s="301"/>
      <c r="JR7" s="301"/>
      <c r="JS7" s="301"/>
      <c r="JT7" s="301"/>
      <c r="JU7" s="301"/>
      <c r="JV7" s="301"/>
      <c r="JW7" s="301"/>
      <c r="JX7" s="301"/>
      <c r="JY7" s="301"/>
      <c r="JZ7" s="301"/>
      <c r="KA7" s="301"/>
      <c r="KB7" s="301"/>
      <c r="KC7" s="301"/>
      <c r="KD7" s="301"/>
      <c r="KE7" s="301"/>
      <c r="KF7" s="301"/>
      <c r="KG7" s="301"/>
      <c r="KH7" s="301"/>
      <c r="KI7" s="301"/>
      <c r="KJ7" s="301"/>
      <c r="KK7" s="301"/>
      <c r="KL7" s="301"/>
      <c r="KM7" s="301"/>
      <c r="KN7" s="301"/>
      <c r="KO7" s="301"/>
      <c r="KP7" s="301"/>
      <c r="KQ7" s="301"/>
      <c r="KR7" s="301"/>
      <c r="KS7" s="301"/>
      <c r="KT7" s="301"/>
      <c r="KU7" s="301"/>
      <c r="KV7" s="301"/>
      <c r="KW7" s="301"/>
      <c r="KX7" s="301"/>
      <c r="KY7" s="301"/>
      <c r="KZ7" s="301"/>
      <c r="LA7" s="301"/>
      <c r="LB7" s="301"/>
      <c r="LC7" s="301"/>
      <c r="LD7" s="301"/>
      <c r="LE7" s="301"/>
      <c r="LF7" s="301"/>
      <c r="LG7" s="301"/>
      <c r="LH7" s="301"/>
      <c r="LI7" s="301"/>
      <c r="LJ7" s="301"/>
      <c r="LK7" s="301"/>
      <c r="LL7" s="301"/>
      <c r="LM7" s="301"/>
      <c r="LN7" s="301"/>
      <c r="LO7" s="301"/>
      <c r="LP7" s="301"/>
      <c r="LQ7" s="301"/>
      <c r="LR7" s="301"/>
      <c r="LS7" s="301"/>
      <c r="LT7" s="301"/>
      <c r="LU7" s="301"/>
      <c r="LV7" s="301"/>
      <c r="LW7" s="301"/>
      <c r="LX7" s="301"/>
      <c r="LY7" s="301"/>
      <c r="LZ7" s="301"/>
      <c r="MA7" s="301"/>
      <c r="MB7" s="301"/>
      <c r="MC7" s="301"/>
      <c r="MD7" s="301"/>
      <c r="ME7" s="301"/>
      <c r="MF7" s="301"/>
      <c r="MG7" s="301"/>
      <c r="MH7" s="301"/>
      <c r="MI7" s="301"/>
      <c r="MJ7" s="301"/>
      <c r="MK7" s="301"/>
      <c r="ML7" s="301"/>
      <c r="MM7" s="301"/>
      <c r="MN7" s="301"/>
      <c r="MO7" s="301"/>
      <c r="MP7" s="301"/>
      <c r="MQ7" s="301"/>
      <c r="MR7" s="301"/>
      <c r="MS7" s="301"/>
      <c r="MT7" s="301"/>
      <c r="MU7" s="301"/>
      <c r="MV7" s="301"/>
      <c r="MW7" s="301"/>
      <c r="MX7" s="301"/>
      <c r="MY7" s="301"/>
      <c r="MZ7" s="301"/>
      <c r="NA7" s="301"/>
      <c r="NB7" s="301"/>
      <c r="NC7" s="301"/>
      <c r="ND7" s="301"/>
      <c r="NE7" s="301"/>
      <c r="NF7" s="301"/>
      <c r="NG7" s="301"/>
      <c r="NH7" s="301"/>
      <c r="NI7" s="301"/>
      <c r="NJ7" s="301"/>
      <c r="NK7" s="301"/>
      <c r="NL7" s="301"/>
      <c r="NM7" s="301"/>
      <c r="NN7" s="301"/>
      <c r="NO7" s="301"/>
      <c r="NP7" s="301"/>
      <c r="NQ7" s="301"/>
      <c r="NR7" s="301"/>
      <c r="NS7" s="301"/>
      <c r="NT7" s="301"/>
      <c r="NU7" s="301"/>
      <c r="NV7" s="301"/>
      <c r="NW7" s="301"/>
      <c r="NX7" s="301"/>
      <c r="NY7" s="301"/>
      <c r="NZ7" s="301"/>
      <c r="OA7" s="301"/>
      <c r="OB7" s="301"/>
      <c r="OC7" s="301"/>
      <c r="OD7" s="301"/>
      <c r="OE7" s="301"/>
      <c r="OF7" s="301"/>
      <c r="OG7" s="301"/>
      <c r="OH7" s="301"/>
      <c r="OI7" s="301"/>
      <c r="OJ7" s="301"/>
      <c r="OK7" s="301"/>
      <c r="OL7" s="301"/>
      <c r="OM7" s="301"/>
      <c r="ON7" s="301"/>
      <c r="OO7" s="301"/>
      <c r="OP7" s="301"/>
      <c r="OQ7" s="301"/>
      <c r="OR7" s="301"/>
      <c r="OS7" s="301"/>
      <c r="OT7" s="301"/>
      <c r="OU7" s="301"/>
      <c r="OV7" s="301"/>
      <c r="OW7" s="301"/>
      <c r="OX7" s="301"/>
      <c r="OY7" s="301"/>
      <c r="OZ7" s="301"/>
      <c r="PA7" s="301"/>
      <c r="PB7" s="301"/>
      <c r="PC7" s="301"/>
      <c r="PD7" s="301"/>
      <c r="PE7" s="301"/>
      <c r="PF7" s="301"/>
      <c r="PG7" s="301"/>
      <c r="PH7" s="301"/>
      <c r="PI7" s="301"/>
      <c r="PJ7" s="301"/>
      <c r="PK7" s="301"/>
      <c r="PL7" s="301"/>
      <c r="PM7" s="301"/>
      <c r="PN7" s="301"/>
      <c r="PO7" s="301"/>
      <c r="PP7" s="301"/>
      <c r="PQ7" s="301"/>
      <c r="PR7" s="301"/>
      <c r="PS7" s="301"/>
      <c r="PT7" s="301"/>
      <c r="PU7" s="301"/>
      <c r="PV7" s="301"/>
      <c r="PW7" s="301"/>
      <c r="PX7" s="301"/>
      <c r="PY7" s="301"/>
      <c r="PZ7" s="301"/>
      <c r="QA7" s="301"/>
      <c r="QB7" s="301"/>
      <c r="QC7" s="301"/>
      <c r="QD7" s="301"/>
      <c r="QE7" s="301"/>
      <c r="QF7" s="301"/>
      <c r="QG7" s="301"/>
      <c r="QH7" s="301"/>
      <c r="QI7" s="301"/>
      <c r="QJ7" s="301"/>
      <c r="QK7" s="301"/>
      <c r="QL7" s="301"/>
      <c r="QM7" s="301"/>
      <c r="QN7" s="301"/>
      <c r="QO7" s="301"/>
      <c r="QP7" s="301"/>
      <c r="QQ7" s="301"/>
      <c r="QR7" s="301"/>
      <c r="QS7" s="301"/>
      <c r="QT7" s="301"/>
      <c r="QU7" s="301"/>
      <c r="QV7" s="301"/>
      <c r="QW7" s="301"/>
      <c r="QX7" s="301"/>
      <c r="QY7" s="301"/>
      <c r="QZ7" s="301"/>
      <c r="RA7" s="301"/>
      <c r="RB7" s="301"/>
      <c r="RC7" s="301"/>
      <c r="RD7" s="301"/>
      <c r="RE7" s="301"/>
      <c r="RF7" s="301"/>
      <c r="RG7" s="301"/>
      <c r="RH7" s="301"/>
      <c r="RI7" s="301"/>
      <c r="RJ7" s="301"/>
      <c r="RK7" s="301"/>
      <c r="RL7" s="301"/>
      <c r="RM7" s="301"/>
      <c r="RN7" s="301"/>
      <c r="RO7" s="301"/>
      <c r="RP7" s="301"/>
      <c r="RQ7" s="301"/>
      <c r="RR7" s="301"/>
      <c r="RS7" s="301"/>
      <c r="RT7" s="301"/>
      <c r="RU7" s="301"/>
      <c r="RV7" s="301"/>
      <c r="RW7" s="301"/>
      <c r="RX7" s="301"/>
      <c r="RY7" s="301"/>
      <c r="RZ7" s="301"/>
      <c r="SA7" s="301"/>
      <c r="SB7" s="301"/>
      <c r="SC7" s="301"/>
      <c r="SD7" s="301"/>
      <c r="SE7" s="301"/>
      <c r="SF7" s="301"/>
      <c r="SG7" s="301"/>
      <c r="SH7" s="301"/>
      <c r="SI7" s="301"/>
      <c r="SJ7" s="301"/>
      <c r="SK7" s="301"/>
      <c r="SL7" s="301"/>
      <c r="SM7" s="301"/>
      <c r="SN7" s="301"/>
      <c r="SO7" s="301"/>
      <c r="SP7" s="301"/>
      <c r="SQ7" s="301"/>
      <c r="SR7" s="301"/>
      <c r="SS7" s="301"/>
      <c r="ST7" s="301"/>
      <c r="SU7" s="301"/>
      <c r="SV7" s="301"/>
      <c r="SW7" s="301"/>
      <c r="SX7" s="301"/>
      <c r="SY7" s="301"/>
      <c r="SZ7" s="301"/>
      <c r="TA7" s="301"/>
      <c r="TB7" s="301"/>
      <c r="TC7" s="301"/>
      <c r="TD7" s="301"/>
      <c r="TE7" s="301"/>
      <c r="TF7" s="301"/>
      <c r="TG7" s="301"/>
      <c r="TH7" s="301"/>
      <c r="TI7" s="301"/>
      <c r="TJ7" s="301"/>
      <c r="TK7" s="301"/>
      <c r="TL7" s="301"/>
      <c r="TM7" s="301"/>
      <c r="TN7" s="301"/>
      <c r="TO7" s="301"/>
      <c r="TP7" s="301"/>
      <c r="TQ7" s="301"/>
      <c r="TR7" s="301"/>
      <c r="TS7" s="301"/>
      <c r="TT7" s="301"/>
      <c r="TU7" s="301"/>
      <c r="TV7" s="301"/>
      <c r="TW7" s="301"/>
      <c r="TX7" s="301"/>
      <c r="TY7" s="301"/>
      <c r="TZ7" s="301"/>
      <c r="UA7" s="301"/>
      <c r="UB7" s="301"/>
      <c r="UC7" s="301"/>
      <c r="UD7" s="301"/>
      <c r="UE7" s="301"/>
      <c r="UF7" s="301"/>
      <c r="UG7" s="301"/>
      <c r="UH7" s="301"/>
      <c r="UI7" s="301"/>
      <c r="UJ7" s="301"/>
      <c r="UK7" s="301"/>
      <c r="UL7" s="301"/>
      <c r="UM7" s="301"/>
      <c r="UN7" s="301"/>
      <c r="UO7" s="301"/>
      <c r="UP7" s="301"/>
      <c r="UQ7" s="301"/>
      <c r="UR7" s="301"/>
      <c r="US7" s="301"/>
      <c r="UT7" s="301"/>
      <c r="UU7" s="301"/>
      <c r="UV7" s="301"/>
      <c r="UW7" s="301"/>
      <c r="UX7" s="301"/>
      <c r="UY7" s="301"/>
      <c r="UZ7" s="301"/>
      <c r="VA7" s="301"/>
      <c r="VB7" s="301"/>
      <c r="VC7" s="301"/>
      <c r="VD7" s="301"/>
      <c r="VE7" s="301"/>
      <c r="VF7" s="301"/>
      <c r="VG7" s="301"/>
      <c r="VH7" s="301"/>
      <c r="VI7" s="301"/>
      <c r="VJ7" s="301"/>
      <c r="VK7" s="301"/>
      <c r="VL7" s="301"/>
      <c r="VM7" s="301"/>
      <c r="VN7" s="301"/>
      <c r="VO7" s="301"/>
      <c r="VP7" s="301"/>
      <c r="VQ7" s="301"/>
      <c r="VR7" s="301"/>
      <c r="VS7" s="301"/>
      <c r="VT7" s="301"/>
      <c r="VU7" s="301"/>
      <c r="VV7" s="301"/>
      <c r="VW7" s="301"/>
      <c r="VX7" s="301"/>
      <c r="VY7" s="301"/>
      <c r="VZ7" s="301"/>
      <c r="WA7" s="301"/>
      <c r="WB7" s="301"/>
      <c r="WC7" s="301"/>
      <c r="WD7" s="301"/>
      <c r="WE7" s="301"/>
      <c r="WF7" s="301"/>
      <c r="WG7" s="301"/>
      <c r="WH7" s="301"/>
      <c r="WI7" s="301"/>
      <c r="WJ7" s="301"/>
      <c r="WK7" s="301"/>
      <c r="WL7" s="301"/>
      <c r="WM7" s="301"/>
      <c r="WN7" s="301"/>
      <c r="WO7" s="301"/>
      <c r="WP7" s="301"/>
      <c r="WQ7" s="301"/>
      <c r="WR7" s="301"/>
      <c r="WS7" s="301"/>
      <c r="WT7" s="301"/>
      <c r="WU7" s="301"/>
      <c r="WV7" s="301"/>
      <c r="WW7" s="301"/>
      <c r="WX7" s="301"/>
      <c r="WY7" s="301"/>
      <c r="WZ7" s="301"/>
      <c r="XA7" s="301"/>
      <c r="XB7" s="301"/>
      <c r="XC7" s="301"/>
      <c r="XD7" s="301"/>
      <c r="XE7" s="301"/>
      <c r="XF7" s="301"/>
      <c r="XG7" s="301"/>
      <c r="XH7" s="301"/>
      <c r="XI7" s="301"/>
      <c r="XJ7" s="301"/>
      <c r="XK7" s="301"/>
      <c r="XL7" s="301"/>
      <c r="XM7" s="301"/>
      <c r="XN7" s="301"/>
      <c r="XO7" s="301"/>
      <c r="XP7" s="301"/>
      <c r="XQ7" s="301"/>
      <c r="XR7" s="301"/>
      <c r="XS7" s="301"/>
      <c r="XT7" s="301"/>
      <c r="XU7" s="301"/>
      <c r="XV7" s="301"/>
      <c r="XW7" s="301"/>
      <c r="XX7" s="301"/>
      <c r="XY7" s="301"/>
      <c r="XZ7" s="301"/>
      <c r="YA7" s="301"/>
      <c r="YB7" s="301"/>
      <c r="YC7" s="301"/>
      <c r="YD7" s="301"/>
      <c r="YE7" s="301"/>
      <c r="YF7" s="301"/>
      <c r="YG7" s="301"/>
      <c r="YH7" s="301"/>
      <c r="YI7" s="301"/>
      <c r="YJ7" s="301"/>
      <c r="YK7" s="301"/>
      <c r="YL7" s="301"/>
      <c r="YM7" s="301"/>
      <c r="YN7" s="301"/>
      <c r="YO7" s="301"/>
      <c r="YP7" s="301"/>
      <c r="YQ7" s="301"/>
      <c r="YR7" s="301"/>
      <c r="YS7" s="301"/>
      <c r="YT7" s="301"/>
      <c r="YU7" s="301"/>
      <c r="YV7" s="301"/>
      <c r="YW7" s="301"/>
      <c r="YX7" s="301"/>
      <c r="YY7" s="301"/>
      <c r="YZ7" s="301"/>
      <c r="ZA7" s="301"/>
      <c r="ZB7" s="301"/>
      <c r="ZC7" s="301"/>
      <c r="ZD7" s="301"/>
      <c r="ZE7" s="301"/>
      <c r="ZF7" s="301"/>
      <c r="ZG7" s="301"/>
      <c r="ZH7" s="301"/>
      <c r="ZI7" s="301"/>
      <c r="ZJ7" s="301"/>
      <c r="ZK7" s="301"/>
      <c r="ZL7" s="301"/>
      <c r="ZM7" s="301"/>
      <c r="ZN7" s="301"/>
      <c r="ZO7" s="301"/>
      <c r="ZP7" s="301"/>
      <c r="ZQ7" s="301"/>
      <c r="ZR7" s="301"/>
      <c r="ZS7" s="301"/>
      <c r="ZT7" s="301"/>
      <c r="ZU7" s="301"/>
      <c r="ZV7" s="301"/>
      <c r="ZW7" s="301"/>
      <c r="ZX7" s="301"/>
      <c r="ZY7" s="301"/>
      <c r="ZZ7" s="301"/>
      <c r="AAA7" s="301"/>
      <c r="AAB7" s="301"/>
      <c r="AAC7" s="301"/>
      <c r="AAD7" s="301"/>
      <c r="AAE7" s="301"/>
      <c r="AAF7" s="301"/>
      <c r="AAG7" s="301"/>
      <c r="AAH7" s="301"/>
      <c r="AAI7" s="301"/>
      <c r="AAJ7" s="301"/>
      <c r="AAK7" s="301"/>
      <c r="AAL7" s="301"/>
      <c r="AAM7" s="301"/>
      <c r="AAN7" s="301"/>
      <c r="AAO7" s="301"/>
      <c r="AAP7" s="301"/>
      <c r="AAQ7" s="301"/>
      <c r="AAR7" s="301"/>
      <c r="AAS7" s="301"/>
      <c r="AAT7" s="301"/>
      <c r="AAU7" s="301"/>
      <c r="AAV7" s="301"/>
      <c r="AAW7" s="301"/>
      <c r="AAX7" s="301"/>
      <c r="AAY7" s="301"/>
      <c r="AAZ7" s="301"/>
      <c r="ABA7" s="301"/>
      <c r="ABB7" s="301"/>
      <c r="ABC7" s="301"/>
      <c r="ABD7" s="301"/>
      <c r="ABE7" s="301"/>
      <c r="ABF7" s="301"/>
      <c r="ABG7" s="301"/>
      <c r="ABH7" s="301"/>
      <c r="ABI7" s="301"/>
      <c r="ABJ7" s="301"/>
      <c r="ABK7" s="301"/>
      <c r="ABL7" s="301"/>
      <c r="ABM7" s="301"/>
      <c r="ABN7" s="301"/>
      <c r="ABO7" s="301"/>
      <c r="ABP7" s="301"/>
      <c r="ABQ7" s="301"/>
      <c r="ABR7" s="301"/>
      <c r="ABS7" s="301"/>
      <c r="ABT7" s="301"/>
      <c r="ABU7" s="301"/>
      <c r="ABV7" s="301"/>
      <c r="ABW7" s="301"/>
      <c r="ABX7" s="301"/>
      <c r="ABY7" s="301"/>
      <c r="ABZ7" s="301"/>
      <c r="ACA7" s="301"/>
      <c r="ACB7" s="301"/>
      <c r="ACC7" s="301"/>
      <c r="ACD7" s="301"/>
      <c r="ACE7" s="301"/>
      <c r="ACF7" s="301"/>
      <c r="ACG7" s="301"/>
      <c r="ACH7" s="301"/>
      <c r="ACI7" s="301"/>
      <c r="ACJ7" s="301"/>
      <c r="ACK7" s="301"/>
      <c r="ACL7" s="301"/>
      <c r="ACM7" s="301"/>
      <c r="ACN7" s="301"/>
      <c r="ACO7" s="301"/>
      <c r="ACP7" s="301"/>
      <c r="ACQ7" s="301"/>
      <c r="ACR7" s="301"/>
      <c r="ACS7" s="301"/>
      <c r="ACT7" s="301"/>
      <c r="ACU7" s="301"/>
      <c r="ACV7" s="301"/>
      <c r="ACW7" s="301"/>
      <c r="ACX7" s="301"/>
      <c r="ACY7" s="301"/>
      <c r="ACZ7" s="301"/>
      <c r="ADA7" s="301"/>
      <c r="ADB7" s="301"/>
      <c r="ADC7" s="301"/>
      <c r="ADD7" s="301"/>
      <c r="ADE7" s="301"/>
      <c r="ADF7" s="301"/>
      <c r="ADG7" s="301"/>
      <c r="ADH7" s="301"/>
      <c r="ADI7" s="301"/>
      <c r="ADJ7" s="301"/>
      <c r="ADK7" s="301"/>
      <c r="ADL7" s="301"/>
      <c r="ADM7" s="301"/>
      <c r="ADN7" s="301"/>
      <c r="ADO7" s="301"/>
      <c r="ADP7" s="301"/>
      <c r="ADQ7" s="301"/>
      <c r="ADR7" s="301"/>
      <c r="ADS7" s="301"/>
      <c r="ADT7" s="301"/>
      <c r="ADU7" s="301"/>
      <c r="ADV7" s="301"/>
      <c r="ADW7" s="301"/>
      <c r="ADX7" s="301"/>
      <c r="ADY7" s="301"/>
      <c r="ADZ7" s="301"/>
      <c r="AEA7" s="301"/>
      <c r="AEB7" s="301"/>
      <c r="AEC7" s="301"/>
      <c r="AED7" s="301"/>
      <c r="AEE7" s="301"/>
      <c r="AEF7" s="301"/>
      <c r="AEG7" s="301"/>
      <c r="AEH7" s="301"/>
      <c r="AEI7" s="301"/>
      <c r="AEJ7" s="301"/>
      <c r="AEK7" s="301"/>
      <c r="AEL7" s="301"/>
      <c r="AEM7" s="301"/>
      <c r="AEN7" s="301"/>
      <c r="AEO7" s="301"/>
      <c r="AEP7" s="301"/>
      <c r="AEQ7" s="301"/>
      <c r="AER7" s="301"/>
      <c r="AES7" s="301"/>
      <c r="AET7" s="301"/>
      <c r="AEU7" s="301"/>
      <c r="AEV7" s="301"/>
      <c r="AEW7" s="301"/>
      <c r="AEX7" s="301"/>
      <c r="AEY7" s="301"/>
      <c r="AEZ7" s="301"/>
      <c r="AFA7" s="301"/>
      <c r="AFB7" s="301"/>
      <c r="AFC7" s="301"/>
      <c r="AFD7" s="301"/>
      <c r="AFE7" s="301"/>
      <c r="AFF7" s="301"/>
      <c r="AFG7" s="301"/>
      <c r="AFH7" s="301"/>
      <c r="AFI7" s="301"/>
      <c r="AFJ7" s="301"/>
      <c r="AFK7" s="301"/>
      <c r="AFL7" s="301"/>
      <c r="AFM7" s="301"/>
      <c r="AFN7" s="301"/>
      <c r="AFO7" s="301"/>
      <c r="AFP7" s="301"/>
      <c r="AFQ7" s="301"/>
      <c r="AFR7" s="301"/>
      <c r="AFS7" s="301"/>
      <c r="AFT7" s="301"/>
      <c r="AFU7" s="301"/>
      <c r="AFV7" s="301"/>
      <c r="AFW7" s="301"/>
      <c r="AFX7" s="301"/>
      <c r="AFY7" s="301"/>
      <c r="AFZ7" s="301"/>
      <c r="AGA7" s="301"/>
      <c r="AGB7" s="301"/>
      <c r="AGC7" s="301"/>
      <c r="AGD7" s="301"/>
      <c r="AGE7" s="301"/>
      <c r="AGF7" s="301"/>
      <c r="AGG7" s="301"/>
      <c r="AGH7" s="301"/>
      <c r="AGI7" s="301"/>
      <c r="AGJ7" s="301"/>
      <c r="AGK7" s="301"/>
      <c r="AGL7" s="301"/>
      <c r="AGM7" s="301"/>
      <c r="AGN7" s="301"/>
      <c r="AGO7" s="301"/>
      <c r="AGP7" s="301"/>
      <c r="AGQ7" s="301"/>
      <c r="AGR7" s="301"/>
      <c r="AGS7" s="301"/>
      <c r="AGT7" s="301"/>
      <c r="AGU7" s="301"/>
      <c r="AGV7" s="301"/>
      <c r="AGW7" s="301"/>
      <c r="AGX7" s="301"/>
      <c r="AGY7" s="301"/>
      <c r="AGZ7" s="301"/>
      <c r="AHA7" s="301"/>
      <c r="AHB7" s="301"/>
      <c r="AHC7" s="301"/>
      <c r="AHD7" s="301"/>
      <c r="AHE7" s="301"/>
      <c r="AHF7" s="301"/>
      <c r="AHG7" s="301"/>
      <c r="AHH7" s="301"/>
      <c r="AHI7" s="301"/>
      <c r="AHJ7" s="301"/>
      <c r="AHK7" s="301"/>
      <c r="AHL7" s="301"/>
      <c r="AHM7" s="301"/>
      <c r="AHN7" s="301"/>
      <c r="AHO7" s="301"/>
      <c r="AHP7" s="301"/>
      <c r="AHQ7" s="301"/>
      <c r="AHR7" s="301"/>
      <c r="AHS7" s="301"/>
      <c r="AHT7" s="301"/>
      <c r="AHU7" s="301"/>
      <c r="AHV7" s="301"/>
      <c r="AHW7" s="301"/>
      <c r="AHX7" s="301"/>
      <c r="AHY7" s="301"/>
      <c r="AHZ7" s="301"/>
      <c r="AIA7" s="301"/>
      <c r="AIB7" s="301"/>
      <c r="AIC7" s="301"/>
      <c r="AID7" s="301"/>
      <c r="AIE7" s="301"/>
      <c r="AIF7" s="301"/>
      <c r="AIG7" s="301"/>
      <c r="AIH7" s="301"/>
      <c r="AII7" s="301"/>
      <c r="AIJ7" s="301"/>
      <c r="AIK7" s="301"/>
      <c r="AIL7" s="301"/>
      <c r="AIM7" s="301"/>
      <c r="AIN7" s="301"/>
      <c r="AIO7" s="301"/>
      <c r="AIP7" s="301"/>
      <c r="AIQ7" s="301"/>
      <c r="AIR7" s="301"/>
      <c r="AIS7" s="301"/>
      <c r="AIT7" s="301"/>
      <c r="AIU7" s="301"/>
      <c r="AIV7" s="301"/>
      <c r="AIW7" s="301"/>
      <c r="AIX7" s="301"/>
      <c r="AIY7" s="301"/>
      <c r="AIZ7" s="301"/>
      <c r="AJA7" s="301"/>
      <c r="AJB7" s="301"/>
      <c r="AJC7" s="301"/>
      <c r="AJD7" s="301"/>
      <c r="AJE7" s="301"/>
      <c r="AJF7" s="301"/>
      <c r="AJG7" s="301"/>
      <c r="AJH7" s="301"/>
      <c r="AJI7" s="301"/>
      <c r="AJJ7" s="301"/>
      <c r="AJK7" s="301"/>
      <c r="AJL7" s="301"/>
      <c r="AJM7" s="301"/>
      <c r="AJN7" s="301"/>
      <c r="AJO7" s="301"/>
      <c r="AJP7" s="301"/>
      <c r="AJQ7" s="301"/>
      <c r="AJR7" s="301"/>
      <c r="AJS7" s="301"/>
      <c r="AJT7" s="301"/>
      <c r="AJU7" s="301"/>
      <c r="AJV7" s="301"/>
      <c r="AJW7" s="301"/>
      <c r="AJX7" s="301"/>
      <c r="AJY7" s="301"/>
      <c r="AJZ7" s="301"/>
      <c r="AKA7" s="301"/>
      <c r="AKB7" s="301"/>
      <c r="AKC7" s="301"/>
      <c r="AKD7" s="301"/>
      <c r="AKE7" s="301"/>
      <c r="AKF7" s="301"/>
      <c r="AKG7" s="301"/>
      <c r="AKH7" s="301"/>
      <c r="AKI7" s="301"/>
      <c r="AKJ7" s="301"/>
      <c r="AKK7" s="301"/>
      <c r="AKL7" s="301"/>
      <c r="AKM7" s="301"/>
      <c r="AKN7" s="301"/>
      <c r="AKO7" s="301"/>
      <c r="AKP7" s="301"/>
      <c r="AKQ7" s="301"/>
      <c r="AKR7" s="301"/>
      <c r="AKS7" s="301"/>
      <c r="AKT7" s="301"/>
      <c r="AKU7" s="301"/>
      <c r="AKV7" s="301"/>
      <c r="AKW7" s="301"/>
      <c r="AKX7" s="301"/>
      <c r="AKY7" s="301"/>
      <c r="AKZ7" s="301"/>
      <c r="ALA7" s="301"/>
      <c r="ALB7" s="301"/>
      <c r="ALC7" s="301"/>
      <c r="ALD7" s="301"/>
      <c r="ALE7" s="301"/>
      <c r="ALF7" s="301"/>
      <c r="ALG7" s="301"/>
      <c r="ALH7" s="301"/>
      <c r="ALI7" s="301"/>
      <c r="ALJ7" s="301"/>
      <c r="ALK7" s="301"/>
      <c r="ALL7" s="301"/>
      <c r="ALM7" s="301"/>
      <c r="ALN7" s="301"/>
      <c r="ALO7" s="301"/>
      <c r="ALP7" s="301"/>
      <c r="ALQ7" s="301"/>
      <c r="ALR7" s="301"/>
      <c r="ALS7" s="301"/>
      <c r="ALT7" s="301"/>
      <c r="ALU7" s="301"/>
      <c r="ALV7" s="301"/>
      <c r="ALW7" s="301"/>
      <c r="ALX7" s="301"/>
      <c r="ALY7" s="301"/>
      <c r="ALZ7" s="301"/>
      <c r="AMA7" s="301"/>
      <c r="AMB7" s="301"/>
      <c r="AMC7" s="301"/>
      <c r="AMD7" s="301"/>
      <c r="AME7" s="301"/>
      <c r="AMF7" s="301"/>
      <c r="AMG7" s="301"/>
      <c r="AMH7" s="301"/>
      <c r="AMI7" s="301"/>
      <c r="AMJ7" s="301"/>
    </row>
    <row r="8" customFormat="false" ht="12.8" hidden="false" customHeight="false" outlineLevel="0" collapsed="false">
      <c r="B8" s="304"/>
    </row>
    <row r="9" customFormat="false" ht="12.8" hidden="false" customHeight="true" outlineLevel="0" collapsed="false">
      <c r="A9" s="305" t="s">
        <v>188</v>
      </c>
      <c r="B9" s="306"/>
      <c r="C9" s="306"/>
      <c r="D9" s="306"/>
      <c r="E9" s="306"/>
      <c r="F9" s="306"/>
      <c r="G9" s="306"/>
      <c r="H9" s="306"/>
      <c r="I9" s="306"/>
      <c r="J9" s="306"/>
      <c r="K9" s="306"/>
      <c r="L9" s="307" t="s">
        <v>189</v>
      </c>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c r="AN9" s="296"/>
      <c r="AO9" s="296"/>
      <c r="AP9" s="296"/>
      <c r="AQ9" s="296"/>
      <c r="AR9" s="296"/>
      <c r="AS9" s="296"/>
      <c r="AT9" s="296"/>
      <c r="AU9" s="296"/>
      <c r="AV9" s="296"/>
      <c r="AW9" s="296"/>
      <c r="AX9" s="296"/>
      <c r="AY9" s="296"/>
      <c r="AZ9" s="296"/>
      <c r="BA9" s="296"/>
      <c r="BB9" s="296"/>
      <c r="BC9" s="296"/>
      <c r="BD9" s="296"/>
      <c r="BE9" s="296"/>
      <c r="BF9" s="296"/>
      <c r="BG9" s="296"/>
      <c r="BH9" s="296"/>
      <c r="BI9" s="296"/>
      <c r="BJ9" s="296"/>
      <c r="BK9" s="296"/>
      <c r="BL9" s="296"/>
      <c r="BM9" s="296"/>
      <c r="BN9" s="296"/>
      <c r="BO9" s="296"/>
      <c r="BP9" s="296"/>
      <c r="BQ9" s="296"/>
      <c r="BR9" s="296"/>
      <c r="BS9" s="296"/>
      <c r="BT9" s="296"/>
      <c r="BU9" s="296"/>
      <c r="BV9" s="296"/>
      <c r="BW9" s="296"/>
      <c r="BX9" s="296"/>
      <c r="BY9" s="296"/>
      <c r="BZ9" s="296"/>
      <c r="CA9" s="296"/>
      <c r="CB9" s="296"/>
      <c r="CC9" s="296"/>
      <c r="CD9" s="296"/>
      <c r="CE9" s="296"/>
      <c r="CF9" s="296"/>
      <c r="CG9" s="296"/>
      <c r="CH9" s="296"/>
      <c r="CI9" s="296"/>
      <c r="CJ9" s="296"/>
      <c r="CK9" s="296"/>
      <c r="CL9" s="296"/>
      <c r="CM9" s="296"/>
      <c r="CN9" s="296"/>
      <c r="CO9" s="296"/>
      <c r="CP9" s="296"/>
      <c r="CQ9" s="296"/>
      <c r="CR9" s="296"/>
      <c r="CS9" s="296"/>
      <c r="CT9" s="296"/>
      <c r="CU9" s="296"/>
      <c r="CV9" s="296"/>
      <c r="CW9" s="296"/>
      <c r="CX9" s="296"/>
      <c r="CY9" s="296"/>
      <c r="CZ9" s="296"/>
      <c r="DA9" s="296"/>
      <c r="DB9" s="296"/>
      <c r="DC9" s="296"/>
      <c r="DD9" s="296"/>
      <c r="DE9" s="296"/>
      <c r="DF9" s="296"/>
      <c r="DG9" s="296"/>
      <c r="DH9" s="296"/>
      <c r="DI9" s="296"/>
      <c r="DJ9" s="296"/>
      <c r="DK9" s="296"/>
      <c r="DL9" s="296"/>
      <c r="DM9" s="296"/>
      <c r="DN9" s="296"/>
      <c r="DO9" s="296"/>
      <c r="DP9" s="296"/>
      <c r="DQ9" s="296"/>
      <c r="DR9" s="296"/>
      <c r="DS9" s="296"/>
      <c r="DT9" s="296"/>
      <c r="DU9" s="296"/>
      <c r="DV9" s="296"/>
      <c r="DW9" s="296"/>
      <c r="DX9" s="296"/>
      <c r="DY9" s="296"/>
      <c r="DZ9" s="296"/>
      <c r="EA9" s="296"/>
      <c r="EB9" s="296"/>
      <c r="EC9" s="296"/>
      <c r="ED9" s="296"/>
      <c r="EE9" s="296"/>
      <c r="EF9" s="296"/>
      <c r="EG9" s="296"/>
      <c r="EH9" s="296"/>
      <c r="EI9" s="296"/>
      <c r="EJ9" s="296"/>
      <c r="EK9" s="296"/>
      <c r="EL9" s="296"/>
      <c r="EM9" s="296"/>
      <c r="EN9" s="296"/>
      <c r="EO9" s="296"/>
      <c r="EP9" s="296"/>
      <c r="EQ9" s="296"/>
      <c r="ER9" s="296"/>
      <c r="ES9" s="296"/>
      <c r="ET9" s="296"/>
      <c r="EU9" s="296"/>
      <c r="EV9" s="296"/>
      <c r="EW9" s="296"/>
      <c r="EX9" s="296"/>
      <c r="EY9" s="296"/>
      <c r="EZ9" s="296"/>
      <c r="FA9" s="296"/>
      <c r="FB9" s="296"/>
      <c r="FC9" s="296"/>
      <c r="FD9" s="296"/>
      <c r="FE9" s="296"/>
      <c r="FF9" s="296"/>
      <c r="FG9" s="296"/>
      <c r="FH9" s="296"/>
      <c r="FI9" s="296"/>
      <c r="FJ9" s="296"/>
      <c r="FK9" s="296"/>
      <c r="FL9" s="296"/>
      <c r="FM9" s="296"/>
      <c r="FN9" s="296"/>
      <c r="FO9" s="296"/>
      <c r="FP9" s="296"/>
      <c r="FQ9" s="296"/>
      <c r="FR9" s="296"/>
      <c r="FS9" s="296"/>
      <c r="FT9" s="296"/>
      <c r="FU9" s="296"/>
      <c r="FV9" s="296"/>
      <c r="FW9" s="296"/>
      <c r="FX9" s="296"/>
      <c r="FY9" s="296"/>
      <c r="FZ9" s="296"/>
      <c r="GA9" s="296"/>
      <c r="GB9" s="296"/>
      <c r="GC9" s="296"/>
      <c r="GD9" s="296"/>
      <c r="GE9" s="296"/>
      <c r="GF9" s="296"/>
      <c r="GG9" s="296"/>
      <c r="GH9" s="296"/>
      <c r="GI9" s="296"/>
      <c r="GJ9" s="296"/>
      <c r="GK9" s="296"/>
      <c r="GL9" s="296"/>
      <c r="GM9" s="296"/>
      <c r="GN9" s="296"/>
      <c r="GO9" s="296"/>
      <c r="GP9" s="296"/>
      <c r="GQ9" s="296"/>
      <c r="GR9" s="296"/>
      <c r="GS9" s="296"/>
      <c r="GT9" s="296"/>
      <c r="GU9" s="296"/>
      <c r="GV9" s="296"/>
      <c r="GW9" s="296"/>
      <c r="GX9" s="296"/>
      <c r="GY9" s="296"/>
      <c r="GZ9" s="296"/>
      <c r="HA9" s="296"/>
      <c r="HB9" s="296"/>
      <c r="HC9" s="296"/>
      <c r="HD9" s="296"/>
      <c r="HE9" s="296"/>
      <c r="HF9" s="296"/>
      <c r="HG9" s="296"/>
      <c r="HH9" s="296"/>
      <c r="HI9" s="296"/>
      <c r="HJ9" s="296"/>
      <c r="HK9" s="296"/>
      <c r="HL9" s="296"/>
      <c r="HM9" s="296"/>
      <c r="HN9" s="296"/>
      <c r="HO9" s="296"/>
      <c r="HP9" s="296"/>
      <c r="HQ9" s="296"/>
      <c r="HR9" s="296"/>
      <c r="HS9" s="296"/>
      <c r="HT9" s="296"/>
      <c r="HU9" s="296"/>
      <c r="HV9" s="296"/>
      <c r="HW9" s="296"/>
      <c r="HX9" s="296"/>
      <c r="HY9" s="296"/>
      <c r="HZ9" s="296"/>
      <c r="IA9" s="296"/>
      <c r="IB9" s="296"/>
      <c r="IC9" s="296"/>
      <c r="ID9" s="296"/>
      <c r="IE9" s="296"/>
      <c r="IF9" s="296"/>
      <c r="IG9" s="296"/>
      <c r="IH9" s="296"/>
      <c r="II9" s="296"/>
      <c r="IJ9" s="296"/>
      <c r="IK9" s="296"/>
      <c r="IL9" s="296"/>
      <c r="IM9" s="296"/>
      <c r="IN9" s="296"/>
      <c r="IO9" s="296"/>
      <c r="IP9" s="296"/>
      <c r="IQ9" s="296"/>
      <c r="IR9" s="296"/>
      <c r="IS9" s="296"/>
      <c r="IT9" s="296"/>
      <c r="IU9" s="296"/>
      <c r="IV9" s="296"/>
      <c r="IW9" s="296"/>
      <c r="IX9" s="296"/>
      <c r="IY9" s="296"/>
      <c r="IZ9" s="296"/>
      <c r="JA9" s="296"/>
      <c r="JB9" s="296"/>
      <c r="JC9" s="296"/>
      <c r="JD9" s="296"/>
      <c r="JE9" s="296"/>
      <c r="JF9" s="296"/>
      <c r="JG9" s="296"/>
      <c r="JH9" s="296"/>
      <c r="JI9" s="296"/>
      <c r="JJ9" s="296"/>
      <c r="JK9" s="296"/>
      <c r="JL9" s="296"/>
      <c r="JM9" s="296"/>
      <c r="JN9" s="296"/>
      <c r="JO9" s="296"/>
      <c r="JP9" s="296"/>
      <c r="JQ9" s="296"/>
      <c r="JR9" s="296"/>
      <c r="JS9" s="296"/>
      <c r="JT9" s="296"/>
      <c r="JU9" s="296"/>
      <c r="JV9" s="296"/>
      <c r="JW9" s="296"/>
      <c r="JX9" s="296"/>
      <c r="JY9" s="296"/>
      <c r="JZ9" s="296"/>
      <c r="KA9" s="296"/>
      <c r="KB9" s="296"/>
      <c r="KC9" s="296"/>
      <c r="KD9" s="296"/>
      <c r="KE9" s="296"/>
      <c r="KF9" s="296"/>
      <c r="KG9" s="296"/>
      <c r="KH9" s="296"/>
      <c r="KI9" s="296"/>
      <c r="KJ9" s="296"/>
      <c r="KK9" s="296"/>
      <c r="KL9" s="296"/>
      <c r="KM9" s="296"/>
      <c r="KN9" s="296"/>
      <c r="KO9" s="296"/>
      <c r="KP9" s="296"/>
      <c r="KQ9" s="296"/>
      <c r="KR9" s="296"/>
      <c r="KS9" s="296"/>
      <c r="KT9" s="296"/>
      <c r="KU9" s="296"/>
      <c r="KV9" s="296"/>
      <c r="KW9" s="296"/>
      <c r="KX9" s="296"/>
      <c r="KY9" s="296"/>
      <c r="KZ9" s="296"/>
      <c r="LA9" s="296"/>
      <c r="LB9" s="296"/>
      <c r="LC9" s="296"/>
      <c r="LD9" s="296"/>
      <c r="LE9" s="296"/>
      <c r="LF9" s="296"/>
      <c r="LG9" s="296"/>
      <c r="LH9" s="296"/>
      <c r="LI9" s="296"/>
      <c r="LJ9" s="296"/>
      <c r="LK9" s="296"/>
      <c r="LL9" s="296"/>
      <c r="LM9" s="296"/>
      <c r="LN9" s="296"/>
      <c r="LO9" s="296"/>
      <c r="LP9" s="296"/>
      <c r="LQ9" s="296"/>
      <c r="LR9" s="296"/>
      <c r="LS9" s="296"/>
      <c r="LT9" s="296"/>
      <c r="LU9" s="296"/>
      <c r="LV9" s="296"/>
      <c r="LW9" s="296"/>
      <c r="LX9" s="296"/>
      <c r="LY9" s="296"/>
      <c r="LZ9" s="296"/>
      <c r="MA9" s="296"/>
      <c r="MB9" s="296"/>
      <c r="MC9" s="296"/>
      <c r="MD9" s="296"/>
      <c r="ME9" s="296"/>
      <c r="MF9" s="296"/>
      <c r="MG9" s="296"/>
      <c r="MH9" s="296"/>
      <c r="MI9" s="296"/>
      <c r="MJ9" s="296"/>
      <c r="MK9" s="296"/>
      <c r="ML9" s="296"/>
      <c r="MM9" s="296"/>
      <c r="MN9" s="296"/>
      <c r="MO9" s="296"/>
      <c r="MP9" s="296"/>
      <c r="MQ9" s="296"/>
      <c r="MR9" s="296"/>
      <c r="MS9" s="296"/>
      <c r="MT9" s="296"/>
      <c r="MU9" s="296"/>
      <c r="MV9" s="296"/>
      <c r="MW9" s="296"/>
      <c r="MX9" s="296"/>
      <c r="MY9" s="296"/>
      <c r="MZ9" s="296"/>
      <c r="NA9" s="296"/>
      <c r="NB9" s="296"/>
      <c r="NC9" s="296"/>
      <c r="ND9" s="296"/>
      <c r="NE9" s="296"/>
      <c r="NF9" s="296"/>
      <c r="NG9" s="296"/>
      <c r="NH9" s="296"/>
      <c r="NI9" s="296"/>
      <c r="NJ9" s="296"/>
      <c r="NK9" s="296"/>
      <c r="NL9" s="296"/>
      <c r="NM9" s="296"/>
      <c r="NN9" s="296"/>
      <c r="NO9" s="296"/>
      <c r="NP9" s="296"/>
      <c r="NQ9" s="296"/>
      <c r="NR9" s="296"/>
      <c r="NS9" s="296"/>
      <c r="NT9" s="296"/>
      <c r="NU9" s="296"/>
      <c r="NV9" s="296"/>
      <c r="NW9" s="296"/>
      <c r="NX9" s="296"/>
      <c r="NY9" s="296"/>
      <c r="NZ9" s="296"/>
      <c r="OA9" s="296"/>
      <c r="OB9" s="296"/>
      <c r="OC9" s="296"/>
      <c r="OD9" s="296"/>
      <c r="OE9" s="296"/>
      <c r="OF9" s="296"/>
      <c r="OG9" s="296"/>
      <c r="OH9" s="296"/>
      <c r="OI9" s="296"/>
      <c r="OJ9" s="296"/>
      <c r="OK9" s="296"/>
      <c r="OL9" s="296"/>
      <c r="OM9" s="296"/>
      <c r="ON9" s="296"/>
      <c r="OO9" s="296"/>
      <c r="OP9" s="296"/>
      <c r="OQ9" s="296"/>
      <c r="OR9" s="296"/>
      <c r="OS9" s="296"/>
      <c r="OT9" s="296"/>
      <c r="OU9" s="296"/>
      <c r="OV9" s="296"/>
      <c r="OW9" s="296"/>
      <c r="OX9" s="296"/>
      <c r="OY9" s="296"/>
      <c r="OZ9" s="296"/>
      <c r="PA9" s="296"/>
      <c r="PB9" s="296"/>
      <c r="PC9" s="296"/>
      <c r="PD9" s="296"/>
      <c r="PE9" s="296"/>
      <c r="PF9" s="296"/>
      <c r="PG9" s="296"/>
      <c r="PH9" s="296"/>
      <c r="PI9" s="296"/>
      <c r="PJ9" s="296"/>
      <c r="PK9" s="296"/>
      <c r="PL9" s="296"/>
      <c r="PM9" s="296"/>
      <c r="PN9" s="296"/>
      <c r="PO9" s="296"/>
      <c r="PP9" s="296"/>
      <c r="PQ9" s="296"/>
      <c r="PR9" s="296"/>
      <c r="PS9" s="296"/>
      <c r="PT9" s="296"/>
      <c r="PU9" s="296"/>
      <c r="PV9" s="296"/>
      <c r="PW9" s="296"/>
      <c r="PX9" s="296"/>
      <c r="PY9" s="296"/>
      <c r="PZ9" s="296"/>
      <c r="QA9" s="296"/>
      <c r="QB9" s="296"/>
      <c r="QC9" s="296"/>
      <c r="QD9" s="296"/>
      <c r="QE9" s="296"/>
      <c r="QF9" s="296"/>
      <c r="QG9" s="296"/>
      <c r="QH9" s="296"/>
      <c r="QI9" s="296"/>
      <c r="QJ9" s="296"/>
      <c r="QK9" s="296"/>
      <c r="QL9" s="296"/>
      <c r="QM9" s="296"/>
      <c r="QN9" s="296"/>
      <c r="QO9" s="296"/>
      <c r="QP9" s="296"/>
      <c r="QQ9" s="296"/>
      <c r="QR9" s="296"/>
      <c r="QS9" s="296"/>
      <c r="QT9" s="296"/>
      <c r="QU9" s="296"/>
      <c r="QV9" s="296"/>
      <c r="QW9" s="296"/>
      <c r="QX9" s="296"/>
      <c r="QY9" s="296"/>
      <c r="QZ9" s="296"/>
      <c r="RA9" s="296"/>
      <c r="RB9" s="296"/>
      <c r="RC9" s="296"/>
      <c r="RD9" s="296"/>
      <c r="RE9" s="296"/>
      <c r="RF9" s="296"/>
      <c r="RG9" s="296"/>
      <c r="RH9" s="296"/>
      <c r="RI9" s="296"/>
      <c r="RJ9" s="296"/>
      <c r="RK9" s="296"/>
      <c r="RL9" s="296"/>
      <c r="RM9" s="296"/>
      <c r="RN9" s="296"/>
      <c r="RO9" s="296"/>
      <c r="RP9" s="296"/>
      <c r="RQ9" s="296"/>
      <c r="RR9" s="296"/>
      <c r="RS9" s="296"/>
      <c r="RT9" s="296"/>
      <c r="RU9" s="296"/>
      <c r="RV9" s="296"/>
      <c r="RW9" s="296"/>
      <c r="RX9" s="296"/>
      <c r="RY9" s="296"/>
      <c r="RZ9" s="296"/>
      <c r="SA9" s="296"/>
      <c r="SB9" s="296"/>
      <c r="SC9" s="296"/>
      <c r="SD9" s="296"/>
      <c r="SE9" s="296"/>
      <c r="SF9" s="296"/>
      <c r="SG9" s="296"/>
      <c r="SH9" s="296"/>
      <c r="SI9" s="296"/>
      <c r="SJ9" s="296"/>
      <c r="SK9" s="296"/>
      <c r="SL9" s="296"/>
      <c r="SM9" s="296"/>
      <c r="SN9" s="296"/>
      <c r="SO9" s="296"/>
      <c r="SP9" s="296"/>
      <c r="SQ9" s="296"/>
      <c r="SR9" s="296"/>
      <c r="SS9" s="296"/>
      <c r="ST9" s="296"/>
      <c r="SU9" s="296"/>
      <c r="SV9" s="296"/>
      <c r="SW9" s="296"/>
      <c r="SX9" s="296"/>
      <c r="SY9" s="296"/>
      <c r="SZ9" s="296"/>
      <c r="TA9" s="296"/>
      <c r="TB9" s="296"/>
      <c r="TC9" s="296"/>
      <c r="TD9" s="296"/>
      <c r="TE9" s="296"/>
      <c r="TF9" s="296"/>
      <c r="TG9" s="296"/>
      <c r="TH9" s="296"/>
      <c r="TI9" s="296"/>
      <c r="TJ9" s="296"/>
      <c r="TK9" s="296"/>
      <c r="TL9" s="296"/>
      <c r="TM9" s="296"/>
      <c r="TN9" s="296"/>
      <c r="TO9" s="296"/>
      <c r="TP9" s="296"/>
      <c r="TQ9" s="296"/>
      <c r="TR9" s="296"/>
      <c r="TS9" s="296"/>
      <c r="TT9" s="296"/>
      <c r="TU9" s="296"/>
      <c r="TV9" s="296"/>
      <c r="TW9" s="296"/>
      <c r="TX9" s="296"/>
      <c r="TY9" s="296"/>
      <c r="TZ9" s="296"/>
      <c r="UA9" s="296"/>
      <c r="UB9" s="296"/>
      <c r="UC9" s="296"/>
      <c r="UD9" s="296"/>
      <c r="UE9" s="296"/>
      <c r="UF9" s="296"/>
      <c r="UG9" s="296"/>
      <c r="UH9" s="296"/>
      <c r="UI9" s="296"/>
      <c r="UJ9" s="296"/>
      <c r="UK9" s="296"/>
      <c r="UL9" s="296"/>
      <c r="UM9" s="296"/>
      <c r="UN9" s="296"/>
      <c r="UO9" s="296"/>
      <c r="UP9" s="296"/>
      <c r="UQ9" s="296"/>
      <c r="UR9" s="296"/>
      <c r="US9" s="296"/>
      <c r="UT9" s="296"/>
      <c r="UU9" s="296"/>
      <c r="UV9" s="296"/>
      <c r="UW9" s="296"/>
      <c r="UX9" s="296"/>
      <c r="UY9" s="296"/>
      <c r="UZ9" s="296"/>
      <c r="VA9" s="296"/>
      <c r="VB9" s="296"/>
      <c r="VC9" s="296"/>
      <c r="VD9" s="296"/>
      <c r="VE9" s="296"/>
      <c r="VF9" s="296"/>
      <c r="VG9" s="296"/>
      <c r="VH9" s="296"/>
      <c r="VI9" s="296"/>
      <c r="VJ9" s="296"/>
      <c r="VK9" s="296"/>
      <c r="VL9" s="296"/>
      <c r="VM9" s="296"/>
      <c r="VN9" s="296"/>
      <c r="VO9" s="296"/>
      <c r="VP9" s="296"/>
      <c r="VQ9" s="296"/>
      <c r="VR9" s="296"/>
      <c r="VS9" s="296"/>
      <c r="VT9" s="296"/>
      <c r="VU9" s="296"/>
      <c r="VV9" s="296"/>
      <c r="VW9" s="296"/>
      <c r="VX9" s="296"/>
      <c r="VY9" s="296"/>
      <c r="VZ9" s="296"/>
      <c r="WA9" s="296"/>
      <c r="WB9" s="296"/>
      <c r="WC9" s="296"/>
      <c r="WD9" s="296"/>
      <c r="WE9" s="296"/>
      <c r="WF9" s="296"/>
      <c r="WG9" s="296"/>
      <c r="WH9" s="296"/>
      <c r="WI9" s="296"/>
      <c r="WJ9" s="296"/>
      <c r="WK9" s="296"/>
      <c r="WL9" s="296"/>
      <c r="WM9" s="296"/>
      <c r="WN9" s="296"/>
      <c r="WO9" s="296"/>
      <c r="WP9" s="296"/>
      <c r="WQ9" s="296"/>
      <c r="WR9" s="296"/>
      <c r="WS9" s="296"/>
      <c r="WT9" s="296"/>
      <c r="WU9" s="296"/>
      <c r="WV9" s="296"/>
      <c r="WW9" s="296"/>
      <c r="WX9" s="296"/>
      <c r="WY9" s="296"/>
      <c r="WZ9" s="296"/>
      <c r="XA9" s="296"/>
      <c r="XB9" s="296"/>
      <c r="XC9" s="296"/>
      <c r="XD9" s="296"/>
      <c r="XE9" s="296"/>
      <c r="XF9" s="296"/>
      <c r="XG9" s="296"/>
      <c r="XH9" s="296"/>
      <c r="XI9" s="296"/>
      <c r="XJ9" s="296"/>
      <c r="XK9" s="296"/>
      <c r="XL9" s="296"/>
      <c r="XM9" s="296"/>
      <c r="XN9" s="296"/>
      <c r="XO9" s="296"/>
      <c r="XP9" s="296"/>
      <c r="XQ9" s="296"/>
      <c r="XR9" s="296"/>
      <c r="XS9" s="296"/>
      <c r="XT9" s="296"/>
      <c r="XU9" s="296"/>
      <c r="XV9" s="296"/>
      <c r="XW9" s="296"/>
      <c r="XX9" s="296"/>
      <c r="XY9" s="296"/>
      <c r="XZ9" s="296"/>
      <c r="YA9" s="296"/>
      <c r="YB9" s="296"/>
      <c r="YC9" s="296"/>
      <c r="YD9" s="296"/>
      <c r="YE9" s="296"/>
      <c r="YF9" s="296"/>
      <c r="YG9" s="296"/>
      <c r="YH9" s="296"/>
      <c r="YI9" s="296"/>
      <c r="YJ9" s="296"/>
      <c r="YK9" s="296"/>
      <c r="YL9" s="296"/>
      <c r="YM9" s="296"/>
      <c r="YN9" s="296"/>
      <c r="YO9" s="296"/>
      <c r="YP9" s="296"/>
      <c r="YQ9" s="296"/>
      <c r="YR9" s="296"/>
      <c r="YS9" s="296"/>
      <c r="YT9" s="296"/>
      <c r="YU9" s="296"/>
      <c r="YV9" s="296"/>
      <c r="YW9" s="296"/>
      <c r="YX9" s="296"/>
      <c r="YY9" s="296"/>
      <c r="YZ9" s="296"/>
      <c r="ZA9" s="296"/>
      <c r="ZB9" s="296"/>
      <c r="ZC9" s="296"/>
      <c r="ZD9" s="296"/>
      <c r="ZE9" s="296"/>
      <c r="ZF9" s="296"/>
      <c r="ZG9" s="296"/>
      <c r="ZH9" s="296"/>
      <c r="ZI9" s="296"/>
      <c r="ZJ9" s="296"/>
      <c r="ZK9" s="296"/>
      <c r="ZL9" s="296"/>
      <c r="ZM9" s="296"/>
      <c r="ZN9" s="296"/>
      <c r="ZO9" s="296"/>
      <c r="ZP9" s="296"/>
      <c r="ZQ9" s="296"/>
      <c r="ZR9" s="296"/>
      <c r="ZS9" s="296"/>
      <c r="ZT9" s="296"/>
      <c r="ZU9" s="296"/>
      <c r="ZV9" s="296"/>
      <c r="ZW9" s="296"/>
      <c r="ZX9" s="296"/>
      <c r="ZY9" s="296"/>
      <c r="ZZ9" s="296"/>
      <c r="AAA9" s="296"/>
      <c r="AAB9" s="296"/>
      <c r="AAC9" s="296"/>
      <c r="AAD9" s="296"/>
      <c r="AAE9" s="296"/>
      <c r="AAF9" s="296"/>
      <c r="AAG9" s="296"/>
      <c r="AAH9" s="296"/>
      <c r="AAI9" s="296"/>
      <c r="AAJ9" s="296"/>
      <c r="AAK9" s="296"/>
      <c r="AAL9" s="296"/>
      <c r="AAM9" s="296"/>
      <c r="AAN9" s="296"/>
      <c r="AAO9" s="296"/>
      <c r="AAP9" s="296"/>
      <c r="AAQ9" s="296"/>
      <c r="AAR9" s="296"/>
      <c r="AAS9" s="296"/>
      <c r="AAT9" s="296"/>
      <c r="AAU9" s="296"/>
      <c r="AAV9" s="296"/>
      <c r="AAW9" s="296"/>
      <c r="AAX9" s="296"/>
      <c r="AAY9" s="296"/>
      <c r="AAZ9" s="296"/>
      <c r="ABA9" s="296"/>
      <c r="ABB9" s="296"/>
      <c r="ABC9" s="296"/>
      <c r="ABD9" s="296"/>
      <c r="ABE9" s="296"/>
      <c r="ABF9" s="296"/>
      <c r="ABG9" s="296"/>
      <c r="ABH9" s="296"/>
      <c r="ABI9" s="296"/>
      <c r="ABJ9" s="296"/>
      <c r="ABK9" s="296"/>
      <c r="ABL9" s="296"/>
      <c r="ABM9" s="296"/>
      <c r="ABN9" s="296"/>
      <c r="ABO9" s="296"/>
      <c r="ABP9" s="296"/>
      <c r="ABQ9" s="296"/>
      <c r="ABR9" s="296"/>
      <c r="ABS9" s="296"/>
      <c r="ABT9" s="296"/>
      <c r="ABU9" s="296"/>
      <c r="ABV9" s="296"/>
      <c r="ABW9" s="296"/>
      <c r="ABX9" s="296"/>
      <c r="ABY9" s="296"/>
      <c r="ABZ9" s="296"/>
      <c r="ACA9" s="296"/>
      <c r="ACB9" s="296"/>
      <c r="ACC9" s="296"/>
      <c r="ACD9" s="296"/>
      <c r="ACE9" s="296"/>
      <c r="ACF9" s="296"/>
      <c r="ACG9" s="296"/>
      <c r="ACH9" s="296"/>
      <c r="ACI9" s="296"/>
      <c r="ACJ9" s="296"/>
      <c r="ACK9" s="296"/>
      <c r="ACL9" s="296"/>
      <c r="ACM9" s="296"/>
      <c r="ACN9" s="296"/>
      <c r="ACO9" s="296"/>
      <c r="ACP9" s="296"/>
      <c r="ACQ9" s="296"/>
      <c r="ACR9" s="296"/>
      <c r="ACS9" s="296"/>
      <c r="ACT9" s="296"/>
      <c r="ACU9" s="296"/>
      <c r="ACV9" s="296"/>
      <c r="ACW9" s="296"/>
      <c r="ACX9" s="296"/>
      <c r="ACY9" s="296"/>
      <c r="ACZ9" s="296"/>
      <c r="ADA9" s="296"/>
      <c r="ADB9" s="296"/>
      <c r="ADC9" s="296"/>
      <c r="ADD9" s="296"/>
      <c r="ADE9" s="296"/>
      <c r="ADF9" s="296"/>
      <c r="ADG9" s="296"/>
      <c r="ADH9" s="296"/>
      <c r="ADI9" s="296"/>
      <c r="ADJ9" s="296"/>
      <c r="ADK9" s="296"/>
      <c r="ADL9" s="296"/>
      <c r="ADM9" s="296"/>
      <c r="ADN9" s="296"/>
      <c r="ADO9" s="296"/>
      <c r="ADP9" s="296"/>
      <c r="ADQ9" s="296"/>
      <c r="ADR9" s="296"/>
      <c r="ADS9" s="296"/>
      <c r="ADT9" s="296"/>
      <c r="ADU9" s="296"/>
      <c r="ADV9" s="296"/>
      <c r="ADW9" s="296"/>
      <c r="ADX9" s="296"/>
      <c r="ADY9" s="296"/>
      <c r="ADZ9" s="296"/>
      <c r="AEA9" s="296"/>
      <c r="AEB9" s="296"/>
      <c r="AEC9" s="296"/>
      <c r="AED9" s="296"/>
      <c r="AEE9" s="296"/>
      <c r="AEF9" s="296"/>
      <c r="AEG9" s="296"/>
      <c r="AEH9" s="296"/>
      <c r="AEI9" s="296"/>
      <c r="AEJ9" s="296"/>
      <c r="AEK9" s="296"/>
      <c r="AEL9" s="296"/>
      <c r="AEM9" s="296"/>
      <c r="AEN9" s="296"/>
      <c r="AEO9" s="296"/>
      <c r="AEP9" s="296"/>
      <c r="AEQ9" s="296"/>
      <c r="AER9" s="296"/>
      <c r="AES9" s="296"/>
      <c r="AET9" s="296"/>
      <c r="AEU9" s="296"/>
      <c r="AEV9" s="296"/>
      <c r="AEW9" s="296"/>
      <c r="AEX9" s="296"/>
      <c r="AEY9" s="296"/>
      <c r="AEZ9" s="296"/>
      <c r="AFA9" s="296"/>
      <c r="AFB9" s="296"/>
      <c r="AFC9" s="296"/>
      <c r="AFD9" s="296"/>
      <c r="AFE9" s="296"/>
      <c r="AFF9" s="296"/>
      <c r="AFG9" s="296"/>
      <c r="AFH9" s="296"/>
      <c r="AFI9" s="296"/>
      <c r="AFJ9" s="296"/>
      <c r="AFK9" s="296"/>
      <c r="AFL9" s="296"/>
      <c r="AFM9" s="296"/>
      <c r="AFN9" s="296"/>
      <c r="AFO9" s="296"/>
      <c r="AFP9" s="296"/>
      <c r="AFQ9" s="296"/>
      <c r="AFR9" s="296"/>
      <c r="AFS9" s="296"/>
      <c r="AFT9" s="296"/>
      <c r="AFU9" s="296"/>
      <c r="AFV9" s="296"/>
      <c r="AFW9" s="296"/>
      <c r="AFX9" s="296"/>
      <c r="AFY9" s="296"/>
      <c r="AFZ9" s="296"/>
      <c r="AGA9" s="296"/>
      <c r="AGB9" s="296"/>
      <c r="AGC9" s="296"/>
      <c r="AGD9" s="296"/>
      <c r="AGE9" s="296"/>
      <c r="AGF9" s="296"/>
      <c r="AGG9" s="296"/>
      <c r="AGH9" s="296"/>
      <c r="AGI9" s="296"/>
      <c r="AGJ9" s="296"/>
      <c r="AGK9" s="296"/>
      <c r="AGL9" s="296"/>
      <c r="AGM9" s="296"/>
      <c r="AGN9" s="296"/>
      <c r="AGO9" s="296"/>
      <c r="AGP9" s="296"/>
      <c r="AGQ9" s="296"/>
      <c r="AGR9" s="296"/>
      <c r="AGS9" s="296"/>
      <c r="AGT9" s="296"/>
      <c r="AGU9" s="296"/>
      <c r="AGV9" s="296"/>
      <c r="AGW9" s="296"/>
      <c r="AGX9" s="296"/>
      <c r="AGY9" s="296"/>
      <c r="AGZ9" s="296"/>
      <c r="AHA9" s="296"/>
      <c r="AHB9" s="296"/>
      <c r="AHC9" s="296"/>
      <c r="AHD9" s="296"/>
      <c r="AHE9" s="296"/>
      <c r="AHF9" s="296"/>
      <c r="AHG9" s="296"/>
      <c r="AHH9" s="296"/>
      <c r="AHI9" s="296"/>
      <c r="AHJ9" s="296"/>
      <c r="AHK9" s="296"/>
      <c r="AHL9" s="296"/>
      <c r="AHM9" s="296"/>
      <c r="AHN9" s="296"/>
      <c r="AHO9" s="296"/>
      <c r="AHP9" s="296"/>
      <c r="AHQ9" s="296"/>
      <c r="AHR9" s="296"/>
      <c r="AHS9" s="296"/>
      <c r="AHT9" s="296"/>
      <c r="AHU9" s="296"/>
      <c r="AHV9" s="296"/>
      <c r="AHW9" s="296"/>
      <c r="AHX9" s="296"/>
      <c r="AHY9" s="296"/>
      <c r="AHZ9" s="296"/>
      <c r="AIA9" s="296"/>
      <c r="AIB9" s="296"/>
      <c r="AIC9" s="296"/>
      <c r="AID9" s="296"/>
      <c r="AIE9" s="296"/>
      <c r="AIF9" s="296"/>
      <c r="AIG9" s="296"/>
      <c r="AIH9" s="296"/>
      <c r="AII9" s="296"/>
      <c r="AIJ9" s="296"/>
      <c r="AIK9" s="296"/>
      <c r="AIL9" s="296"/>
      <c r="AIM9" s="296"/>
      <c r="AIN9" s="296"/>
      <c r="AIO9" s="296"/>
      <c r="AIP9" s="296"/>
      <c r="AIQ9" s="296"/>
      <c r="AIR9" s="296"/>
      <c r="AIS9" s="296"/>
      <c r="AIT9" s="296"/>
      <c r="AIU9" s="296"/>
      <c r="AIV9" s="296"/>
      <c r="AIW9" s="296"/>
      <c r="AIX9" s="296"/>
      <c r="AIY9" s="296"/>
      <c r="AIZ9" s="296"/>
      <c r="AJA9" s="296"/>
      <c r="AJB9" s="296"/>
      <c r="AJC9" s="296"/>
      <c r="AJD9" s="296"/>
      <c r="AJE9" s="296"/>
      <c r="AJF9" s="296"/>
      <c r="AJG9" s="296"/>
      <c r="AJH9" s="296"/>
      <c r="AJI9" s="296"/>
      <c r="AJJ9" s="296"/>
      <c r="AJK9" s="296"/>
      <c r="AJL9" s="296"/>
      <c r="AJM9" s="296"/>
      <c r="AJN9" s="296"/>
      <c r="AJO9" s="296"/>
      <c r="AJP9" s="296"/>
      <c r="AJQ9" s="296"/>
      <c r="AJR9" s="296"/>
      <c r="AJS9" s="296"/>
      <c r="AJT9" s="296"/>
      <c r="AJU9" s="296"/>
      <c r="AJV9" s="296"/>
      <c r="AJW9" s="296"/>
      <c r="AJX9" s="296"/>
      <c r="AJY9" s="296"/>
      <c r="AJZ9" s="296"/>
      <c r="AKA9" s="296"/>
      <c r="AKB9" s="296"/>
      <c r="AKC9" s="296"/>
      <c r="AKD9" s="296"/>
      <c r="AKE9" s="296"/>
      <c r="AKF9" s="296"/>
      <c r="AKG9" s="296"/>
      <c r="AKH9" s="296"/>
      <c r="AKI9" s="296"/>
      <c r="AKJ9" s="296"/>
      <c r="AKK9" s="296"/>
      <c r="AKL9" s="296"/>
      <c r="AKM9" s="296"/>
      <c r="AKN9" s="296"/>
      <c r="AKO9" s="296"/>
      <c r="AKP9" s="296"/>
      <c r="AKQ9" s="296"/>
      <c r="AKR9" s="296"/>
      <c r="AKS9" s="296"/>
      <c r="AKT9" s="296"/>
      <c r="AKU9" s="296"/>
      <c r="AKV9" s="296"/>
      <c r="AKW9" s="296"/>
      <c r="AKX9" s="296"/>
      <c r="AKY9" s="296"/>
      <c r="AKZ9" s="296"/>
      <c r="ALA9" s="296"/>
      <c r="ALB9" s="296"/>
      <c r="ALC9" s="296"/>
      <c r="ALD9" s="296"/>
      <c r="ALE9" s="296"/>
      <c r="ALF9" s="296"/>
      <c r="ALG9" s="296"/>
      <c r="ALH9" s="296"/>
      <c r="ALI9" s="296"/>
      <c r="ALJ9" s="296"/>
      <c r="ALK9" s="296"/>
      <c r="ALL9" s="296"/>
      <c r="ALM9" s="296"/>
      <c r="ALN9" s="296"/>
      <c r="ALO9" s="296"/>
      <c r="ALP9" s="296"/>
      <c r="ALQ9" s="296"/>
      <c r="ALR9" s="296"/>
      <c r="ALS9" s="296"/>
      <c r="ALT9" s="296"/>
      <c r="ALU9" s="296"/>
      <c r="ALV9" s="296"/>
      <c r="ALW9" s="296"/>
      <c r="ALX9" s="296"/>
      <c r="ALY9" s="296"/>
      <c r="ALZ9" s="296"/>
      <c r="AMA9" s="296"/>
      <c r="AMB9" s="296"/>
      <c r="AMC9" s="296"/>
      <c r="AMD9" s="296"/>
      <c r="AME9" s="296"/>
      <c r="AMF9" s="296"/>
      <c r="AMG9" s="296"/>
      <c r="AMH9" s="296"/>
      <c r="AMI9" s="296"/>
      <c r="AMJ9" s="296"/>
    </row>
    <row r="10" customFormat="false" ht="13.35" hidden="false" customHeight="false" outlineLevel="0" collapsed="false">
      <c r="A10" s="308" t="s">
        <v>190</v>
      </c>
      <c r="B10" s="309" t="s">
        <v>191</v>
      </c>
      <c r="C10" s="309"/>
      <c r="D10" s="309" t="s">
        <v>192</v>
      </c>
      <c r="E10" s="309"/>
      <c r="F10" s="309" t="s">
        <v>32</v>
      </c>
      <c r="G10" s="309"/>
      <c r="H10" s="309" t="s">
        <v>193</v>
      </c>
      <c r="I10" s="309"/>
      <c r="J10" s="309" t="s">
        <v>194</v>
      </c>
      <c r="K10" s="301"/>
      <c r="L10" s="307"/>
      <c r="M10" s="301"/>
      <c r="N10" s="301"/>
      <c r="O10" s="301"/>
      <c r="P10" s="301"/>
      <c r="Q10" s="301"/>
      <c r="R10" s="301"/>
      <c r="S10" s="301"/>
      <c r="T10" s="301"/>
      <c r="U10" s="301"/>
      <c r="V10" s="301"/>
      <c r="W10" s="301"/>
      <c r="X10" s="301"/>
      <c r="Y10" s="301"/>
      <c r="Z10" s="301"/>
      <c r="AA10" s="301"/>
      <c r="AB10" s="301"/>
      <c r="AC10" s="301"/>
      <c r="AD10" s="301"/>
      <c r="AE10" s="301"/>
      <c r="AF10" s="301"/>
      <c r="AG10" s="301"/>
      <c r="AH10" s="301"/>
      <c r="AI10" s="301"/>
      <c r="AJ10" s="301"/>
      <c r="AK10" s="301"/>
      <c r="AL10" s="301"/>
      <c r="AM10" s="301"/>
      <c r="AN10" s="301"/>
      <c r="AO10" s="301"/>
      <c r="AP10" s="301"/>
      <c r="AQ10" s="301"/>
      <c r="AR10" s="301"/>
      <c r="AS10" s="301"/>
      <c r="AT10" s="301"/>
      <c r="AU10" s="301"/>
      <c r="AV10" s="301"/>
      <c r="AW10" s="301"/>
      <c r="AX10" s="301"/>
      <c r="AY10" s="301"/>
      <c r="AZ10" s="301"/>
      <c r="BA10" s="301"/>
      <c r="BB10" s="301"/>
      <c r="BC10" s="301"/>
      <c r="BD10" s="301"/>
      <c r="BE10" s="301"/>
      <c r="BF10" s="301"/>
      <c r="BG10" s="301"/>
      <c r="BH10" s="301"/>
      <c r="BI10" s="301"/>
      <c r="BJ10" s="301"/>
      <c r="BK10" s="301"/>
      <c r="BL10" s="301"/>
      <c r="BM10" s="301"/>
      <c r="BN10" s="301"/>
      <c r="BO10" s="301"/>
      <c r="BP10" s="301"/>
      <c r="BQ10" s="301"/>
      <c r="BR10" s="301"/>
      <c r="BS10" s="301"/>
      <c r="BT10" s="301"/>
      <c r="BU10" s="301"/>
      <c r="BV10" s="301"/>
      <c r="BW10" s="301"/>
      <c r="BX10" s="301"/>
      <c r="BY10" s="301"/>
      <c r="BZ10" s="301"/>
      <c r="CA10" s="301"/>
      <c r="CB10" s="301"/>
      <c r="CC10" s="301"/>
      <c r="CD10" s="301"/>
      <c r="CE10" s="301"/>
      <c r="CF10" s="301"/>
      <c r="CG10" s="301"/>
      <c r="CH10" s="301"/>
      <c r="CI10" s="301"/>
      <c r="CJ10" s="301"/>
      <c r="CK10" s="301"/>
      <c r="CL10" s="301"/>
      <c r="CM10" s="301"/>
      <c r="CN10" s="301"/>
      <c r="CO10" s="301"/>
      <c r="CP10" s="301"/>
      <c r="CQ10" s="301"/>
      <c r="CR10" s="301"/>
      <c r="CS10" s="301"/>
      <c r="CT10" s="301"/>
      <c r="CU10" s="301"/>
      <c r="CV10" s="301"/>
      <c r="CW10" s="301"/>
      <c r="CX10" s="301"/>
      <c r="CY10" s="301"/>
      <c r="CZ10" s="301"/>
      <c r="DA10" s="301"/>
      <c r="DB10" s="301"/>
      <c r="DC10" s="301"/>
      <c r="DD10" s="301"/>
      <c r="DE10" s="301"/>
      <c r="DF10" s="301"/>
      <c r="DG10" s="301"/>
      <c r="DH10" s="301"/>
      <c r="DI10" s="301"/>
      <c r="DJ10" s="301"/>
      <c r="DK10" s="301"/>
      <c r="DL10" s="301"/>
      <c r="DM10" s="301"/>
      <c r="DN10" s="301"/>
      <c r="DO10" s="301"/>
      <c r="DP10" s="301"/>
      <c r="DQ10" s="301"/>
      <c r="DR10" s="301"/>
      <c r="DS10" s="301"/>
      <c r="DT10" s="301"/>
      <c r="DU10" s="301"/>
      <c r="DV10" s="301"/>
      <c r="DW10" s="301"/>
      <c r="DX10" s="301"/>
      <c r="DY10" s="301"/>
      <c r="DZ10" s="301"/>
      <c r="EA10" s="301"/>
      <c r="EB10" s="301"/>
      <c r="EC10" s="301"/>
      <c r="ED10" s="301"/>
      <c r="EE10" s="301"/>
      <c r="EF10" s="301"/>
      <c r="EG10" s="301"/>
      <c r="EH10" s="301"/>
      <c r="EI10" s="301"/>
      <c r="EJ10" s="301"/>
      <c r="EK10" s="301"/>
      <c r="EL10" s="301"/>
      <c r="EM10" s="301"/>
      <c r="EN10" s="301"/>
      <c r="EO10" s="301"/>
      <c r="EP10" s="301"/>
      <c r="EQ10" s="301"/>
      <c r="ER10" s="301"/>
      <c r="ES10" s="301"/>
      <c r="ET10" s="301"/>
      <c r="EU10" s="301"/>
      <c r="EV10" s="301"/>
      <c r="EW10" s="301"/>
      <c r="EX10" s="301"/>
      <c r="EY10" s="301"/>
      <c r="EZ10" s="301"/>
      <c r="FA10" s="301"/>
      <c r="FB10" s="301"/>
      <c r="FC10" s="301"/>
      <c r="FD10" s="301"/>
      <c r="FE10" s="301"/>
      <c r="FF10" s="301"/>
      <c r="FG10" s="301"/>
      <c r="FH10" s="301"/>
      <c r="FI10" s="301"/>
      <c r="FJ10" s="301"/>
      <c r="FK10" s="301"/>
      <c r="FL10" s="301"/>
      <c r="FM10" s="301"/>
      <c r="FN10" s="301"/>
      <c r="FO10" s="301"/>
      <c r="FP10" s="301"/>
      <c r="FQ10" s="301"/>
      <c r="FR10" s="301"/>
      <c r="FS10" s="301"/>
      <c r="FT10" s="301"/>
      <c r="FU10" s="301"/>
      <c r="FV10" s="301"/>
      <c r="FW10" s="301"/>
      <c r="FX10" s="301"/>
      <c r="FY10" s="301"/>
      <c r="FZ10" s="301"/>
      <c r="GA10" s="301"/>
      <c r="GB10" s="301"/>
      <c r="GC10" s="301"/>
      <c r="GD10" s="301"/>
      <c r="GE10" s="301"/>
      <c r="GF10" s="301"/>
      <c r="GG10" s="301"/>
      <c r="GH10" s="301"/>
      <c r="GI10" s="301"/>
      <c r="GJ10" s="301"/>
      <c r="GK10" s="301"/>
      <c r="GL10" s="301"/>
      <c r="GM10" s="301"/>
      <c r="GN10" s="301"/>
      <c r="GO10" s="301"/>
      <c r="GP10" s="301"/>
      <c r="GQ10" s="301"/>
      <c r="GR10" s="301"/>
      <c r="GS10" s="301"/>
      <c r="GT10" s="301"/>
      <c r="GU10" s="301"/>
      <c r="GV10" s="301"/>
      <c r="GW10" s="301"/>
      <c r="GX10" s="301"/>
      <c r="GY10" s="301"/>
      <c r="GZ10" s="301"/>
      <c r="HA10" s="301"/>
      <c r="HB10" s="301"/>
      <c r="HC10" s="301"/>
      <c r="HD10" s="301"/>
      <c r="HE10" s="301"/>
      <c r="HF10" s="301"/>
      <c r="HG10" s="301"/>
      <c r="HH10" s="301"/>
      <c r="HI10" s="301"/>
      <c r="HJ10" s="301"/>
      <c r="HK10" s="301"/>
      <c r="HL10" s="301"/>
      <c r="HM10" s="301"/>
      <c r="HN10" s="301"/>
      <c r="HO10" s="301"/>
      <c r="HP10" s="301"/>
      <c r="HQ10" s="301"/>
      <c r="HR10" s="301"/>
      <c r="HS10" s="301"/>
      <c r="HT10" s="301"/>
      <c r="HU10" s="301"/>
      <c r="HV10" s="301"/>
      <c r="HW10" s="301"/>
      <c r="HX10" s="301"/>
      <c r="HY10" s="301"/>
      <c r="HZ10" s="301"/>
      <c r="IA10" s="301"/>
      <c r="IB10" s="301"/>
      <c r="IC10" s="301"/>
      <c r="ID10" s="301"/>
      <c r="IE10" s="301"/>
      <c r="IF10" s="301"/>
      <c r="IG10" s="301"/>
      <c r="IH10" s="301"/>
      <c r="II10" s="301"/>
      <c r="IJ10" s="301"/>
      <c r="IK10" s="301"/>
      <c r="IL10" s="301"/>
      <c r="IM10" s="301"/>
      <c r="IN10" s="301"/>
      <c r="IO10" s="301"/>
      <c r="IP10" s="301"/>
      <c r="IQ10" s="301"/>
      <c r="IR10" s="301"/>
      <c r="IS10" s="301"/>
      <c r="IT10" s="301"/>
      <c r="IU10" s="301"/>
      <c r="IV10" s="301"/>
      <c r="IW10" s="301"/>
      <c r="IX10" s="301"/>
      <c r="IY10" s="301"/>
      <c r="IZ10" s="301"/>
      <c r="JA10" s="301"/>
      <c r="JB10" s="301"/>
      <c r="JC10" s="301"/>
      <c r="JD10" s="301"/>
      <c r="JE10" s="301"/>
      <c r="JF10" s="301"/>
      <c r="JG10" s="301"/>
      <c r="JH10" s="301"/>
      <c r="JI10" s="301"/>
      <c r="JJ10" s="301"/>
      <c r="JK10" s="301"/>
      <c r="JL10" s="301"/>
      <c r="JM10" s="301"/>
      <c r="JN10" s="301"/>
      <c r="JO10" s="301"/>
      <c r="JP10" s="301"/>
      <c r="JQ10" s="301"/>
      <c r="JR10" s="301"/>
      <c r="JS10" s="301"/>
      <c r="JT10" s="301"/>
      <c r="JU10" s="301"/>
      <c r="JV10" s="301"/>
      <c r="JW10" s="301"/>
      <c r="JX10" s="301"/>
      <c r="JY10" s="301"/>
      <c r="JZ10" s="301"/>
      <c r="KA10" s="301"/>
      <c r="KB10" s="301"/>
      <c r="KC10" s="301"/>
      <c r="KD10" s="301"/>
      <c r="KE10" s="301"/>
      <c r="KF10" s="301"/>
      <c r="KG10" s="301"/>
      <c r="KH10" s="301"/>
      <c r="KI10" s="301"/>
      <c r="KJ10" s="301"/>
      <c r="KK10" s="301"/>
      <c r="KL10" s="301"/>
      <c r="KM10" s="301"/>
      <c r="KN10" s="301"/>
      <c r="KO10" s="301"/>
      <c r="KP10" s="301"/>
      <c r="KQ10" s="301"/>
      <c r="KR10" s="301"/>
      <c r="KS10" s="301"/>
      <c r="KT10" s="301"/>
      <c r="KU10" s="301"/>
      <c r="KV10" s="301"/>
      <c r="KW10" s="301"/>
      <c r="KX10" s="301"/>
      <c r="KY10" s="301"/>
      <c r="KZ10" s="301"/>
      <c r="LA10" s="301"/>
      <c r="LB10" s="301"/>
      <c r="LC10" s="301"/>
      <c r="LD10" s="301"/>
      <c r="LE10" s="301"/>
      <c r="LF10" s="301"/>
      <c r="LG10" s="301"/>
      <c r="LH10" s="301"/>
      <c r="LI10" s="301"/>
      <c r="LJ10" s="301"/>
      <c r="LK10" s="301"/>
      <c r="LL10" s="301"/>
      <c r="LM10" s="301"/>
      <c r="LN10" s="301"/>
      <c r="LO10" s="301"/>
      <c r="LP10" s="301"/>
      <c r="LQ10" s="301"/>
      <c r="LR10" s="301"/>
      <c r="LS10" s="301"/>
      <c r="LT10" s="301"/>
      <c r="LU10" s="301"/>
      <c r="LV10" s="301"/>
      <c r="LW10" s="301"/>
      <c r="LX10" s="301"/>
      <c r="LY10" s="301"/>
      <c r="LZ10" s="301"/>
      <c r="MA10" s="301"/>
      <c r="MB10" s="301"/>
      <c r="MC10" s="301"/>
      <c r="MD10" s="301"/>
      <c r="ME10" s="301"/>
      <c r="MF10" s="301"/>
      <c r="MG10" s="301"/>
      <c r="MH10" s="301"/>
      <c r="MI10" s="301"/>
      <c r="MJ10" s="301"/>
      <c r="MK10" s="301"/>
      <c r="ML10" s="301"/>
      <c r="MM10" s="301"/>
      <c r="MN10" s="301"/>
      <c r="MO10" s="301"/>
      <c r="MP10" s="301"/>
      <c r="MQ10" s="301"/>
      <c r="MR10" s="301"/>
      <c r="MS10" s="301"/>
      <c r="MT10" s="301"/>
      <c r="MU10" s="301"/>
      <c r="MV10" s="301"/>
      <c r="MW10" s="301"/>
      <c r="MX10" s="301"/>
      <c r="MY10" s="301"/>
      <c r="MZ10" s="301"/>
      <c r="NA10" s="301"/>
      <c r="NB10" s="301"/>
      <c r="NC10" s="301"/>
      <c r="ND10" s="301"/>
      <c r="NE10" s="301"/>
      <c r="NF10" s="301"/>
      <c r="NG10" s="301"/>
      <c r="NH10" s="301"/>
      <c r="NI10" s="301"/>
      <c r="NJ10" s="301"/>
      <c r="NK10" s="301"/>
      <c r="NL10" s="301"/>
      <c r="NM10" s="301"/>
      <c r="NN10" s="301"/>
      <c r="NO10" s="301"/>
      <c r="NP10" s="301"/>
      <c r="NQ10" s="301"/>
      <c r="NR10" s="301"/>
      <c r="NS10" s="301"/>
      <c r="NT10" s="301"/>
      <c r="NU10" s="301"/>
      <c r="NV10" s="301"/>
      <c r="NW10" s="301"/>
      <c r="NX10" s="301"/>
      <c r="NY10" s="301"/>
      <c r="NZ10" s="301"/>
      <c r="OA10" s="301"/>
      <c r="OB10" s="301"/>
      <c r="OC10" s="301"/>
      <c r="OD10" s="301"/>
      <c r="OE10" s="301"/>
      <c r="OF10" s="301"/>
      <c r="OG10" s="301"/>
      <c r="OH10" s="301"/>
      <c r="OI10" s="301"/>
      <c r="OJ10" s="301"/>
      <c r="OK10" s="301"/>
      <c r="OL10" s="301"/>
      <c r="OM10" s="301"/>
      <c r="ON10" s="301"/>
      <c r="OO10" s="301"/>
      <c r="OP10" s="301"/>
      <c r="OQ10" s="301"/>
      <c r="OR10" s="301"/>
      <c r="OS10" s="301"/>
      <c r="OT10" s="301"/>
      <c r="OU10" s="301"/>
      <c r="OV10" s="301"/>
      <c r="OW10" s="301"/>
      <c r="OX10" s="301"/>
      <c r="OY10" s="301"/>
      <c r="OZ10" s="301"/>
      <c r="PA10" s="301"/>
      <c r="PB10" s="301"/>
      <c r="PC10" s="301"/>
      <c r="PD10" s="301"/>
      <c r="PE10" s="301"/>
      <c r="PF10" s="301"/>
      <c r="PG10" s="301"/>
      <c r="PH10" s="301"/>
      <c r="PI10" s="301"/>
      <c r="PJ10" s="301"/>
      <c r="PK10" s="301"/>
      <c r="PL10" s="301"/>
      <c r="PM10" s="301"/>
      <c r="PN10" s="301"/>
      <c r="PO10" s="301"/>
      <c r="PP10" s="301"/>
      <c r="PQ10" s="301"/>
      <c r="PR10" s="301"/>
      <c r="PS10" s="301"/>
      <c r="PT10" s="301"/>
      <c r="PU10" s="301"/>
      <c r="PV10" s="301"/>
      <c r="PW10" s="301"/>
      <c r="PX10" s="301"/>
      <c r="PY10" s="301"/>
      <c r="PZ10" s="301"/>
      <c r="QA10" s="301"/>
      <c r="QB10" s="301"/>
      <c r="QC10" s="301"/>
      <c r="QD10" s="301"/>
      <c r="QE10" s="301"/>
      <c r="QF10" s="301"/>
      <c r="QG10" s="301"/>
      <c r="QH10" s="301"/>
      <c r="QI10" s="301"/>
      <c r="QJ10" s="301"/>
      <c r="QK10" s="301"/>
      <c r="QL10" s="301"/>
      <c r="QM10" s="301"/>
      <c r="QN10" s="301"/>
      <c r="QO10" s="301"/>
      <c r="QP10" s="301"/>
      <c r="QQ10" s="301"/>
      <c r="QR10" s="301"/>
      <c r="QS10" s="301"/>
      <c r="QT10" s="301"/>
      <c r="QU10" s="301"/>
      <c r="QV10" s="301"/>
      <c r="QW10" s="301"/>
      <c r="QX10" s="301"/>
      <c r="QY10" s="301"/>
      <c r="QZ10" s="301"/>
      <c r="RA10" s="301"/>
      <c r="RB10" s="301"/>
      <c r="RC10" s="301"/>
      <c r="RD10" s="301"/>
      <c r="RE10" s="301"/>
      <c r="RF10" s="301"/>
      <c r="RG10" s="301"/>
      <c r="RH10" s="301"/>
      <c r="RI10" s="301"/>
      <c r="RJ10" s="301"/>
      <c r="RK10" s="301"/>
      <c r="RL10" s="301"/>
      <c r="RM10" s="301"/>
      <c r="RN10" s="301"/>
      <c r="RO10" s="301"/>
      <c r="RP10" s="301"/>
      <c r="RQ10" s="301"/>
      <c r="RR10" s="301"/>
      <c r="RS10" s="301"/>
      <c r="RT10" s="301"/>
      <c r="RU10" s="301"/>
      <c r="RV10" s="301"/>
      <c r="RW10" s="301"/>
      <c r="RX10" s="301"/>
      <c r="RY10" s="301"/>
      <c r="RZ10" s="301"/>
      <c r="SA10" s="301"/>
      <c r="SB10" s="301"/>
      <c r="SC10" s="301"/>
      <c r="SD10" s="301"/>
      <c r="SE10" s="301"/>
      <c r="SF10" s="301"/>
      <c r="SG10" s="301"/>
      <c r="SH10" s="301"/>
      <c r="SI10" s="301"/>
      <c r="SJ10" s="301"/>
      <c r="SK10" s="301"/>
      <c r="SL10" s="301"/>
      <c r="SM10" s="301"/>
      <c r="SN10" s="301"/>
      <c r="SO10" s="301"/>
      <c r="SP10" s="301"/>
      <c r="SQ10" s="301"/>
      <c r="SR10" s="301"/>
      <c r="SS10" s="301"/>
      <c r="ST10" s="301"/>
      <c r="SU10" s="301"/>
      <c r="SV10" s="301"/>
      <c r="SW10" s="301"/>
      <c r="SX10" s="301"/>
      <c r="SY10" s="301"/>
      <c r="SZ10" s="301"/>
      <c r="TA10" s="301"/>
      <c r="TB10" s="301"/>
      <c r="TC10" s="301"/>
      <c r="TD10" s="301"/>
      <c r="TE10" s="301"/>
      <c r="TF10" s="301"/>
      <c r="TG10" s="301"/>
      <c r="TH10" s="301"/>
      <c r="TI10" s="301"/>
      <c r="TJ10" s="301"/>
      <c r="TK10" s="301"/>
      <c r="TL10" s="301"/>
      <c r="TM10" s="301"/>
      <c r="TN10" s="301"/>
      <c r="TO10" s="301"/>
      <c r="TP10" s="301"/>
      <c r="TQ10" s="301"/>
      <c r="TR10" s="301"/>
      <c r="TS10" s="301"/>
      <c r="TT10" s="301"/>
      <c r="TU10" s="301"/>
      <c r="TV10" s="301"/>
      <c r="TW10" s="301"/>
      <c r="TX10" s="301"/>
      <c r="TY10" s="301"/>
      <c r="TZ10" s="301"/>
      <c r="UA10" s="301"/>
      <c r="UB10" s="301"/>
      <c r="UC10" s="301"/>
      <c r="UD10" s="301"/>
      <c r="UE10" s="301"/>
      <c r="UF10" s="301"/>
      <c r="UG10" s="301"/>
      <c r="UH10" s="301"/>
      <c r="UI10" s="301"/>
      <c r="UJ10" s="301"/>
      <c r="UK10" s="301"/>
      <c r="UL10" s="301"/>
      <c r="UM10" s="301"/>
      <c r="UN10" s="301"/>
      <c r="UO10" s="301"/>
      <c r="UP10" s="301"/>
      <c r="UQ10" s="301"/>
      <c r="UR10" s="301"/>
      <c r="US10" s="301"/>
      <c r="UT10" s="301"/>
      <c r="UU10" s="301"/>
      <c r="UV10" s="301"/>
      <c r="UW10" s="301"/>
      <c r="UX10" s="301"/>
      <c r="UY10" s="301"/>
      <c r="UZ10" s="301"/>
      <c r="VA10" s="301"/>
      <c r="VB10" s="301"/>
      <c r="VC10" s="301"/>
      <c r="VD10" s="301"/>
      <c r="VE10" s="301"/>
      <c r="VF10" s="301"/>
      <c r="VG10" s="301"/>
      <c r="VH10" s="301"/>
      <c r="VI10" s="301"/>
      <c r="VJ10" s="301"/>
      <c r="VK10" s="301"/>
      <c r="VL10" s="301"/>
      <c r="VM10" s="301"/>
      <c r="VN10" s="301"/>
      <c r="VO10" s="301"/>
      <c r="VP10" s="301"/>
      <c r="VQ10" s="301"/>
      <c r="VR10" s="301"/>
      <c r="VS10" s="301"/>
      <c r="VT10" s="301"/>
      <c r="VU10" s="301"/>
      <c r="VV10" s="301"/>
      <c r="VW10" s="301"/>
      <c r="VX10" s="301"/>
      <c r="VY10" s="301"/>
      <c r="VZ10" s="301"/>
      <c r="WA10" s="301"/>
      <c r="WB10" s="301"/>
      <c r="WC10" s="301"/>
      <c r="WD10" s="301"/>
      <c r="WE10" s="301"/>
      <c r="WF10" s="301"/>
      <c r="WG10" s="301"/>
      <c r="WH10" s="301"/>
      <c r="WI10" s="301"/>
      <c r="WJ10" s="301"/>
      <c r="WK10" s="301"/>
      <c r="WL10" s="301"/>
      <c r="WM10" s="301"/>
      <c r="WN10" s="301"/>
      <c r="WO10" s="301"/>
      <c r="WP10" s="301"/>
      <c r="WQ10" s="301"/>
      <c r="WR10" s="301"/>
      <c r="WS10" s="301"/>
      <c r="WT10" s="301"/>
      <c r="WU10" s="301"/>
      <c r="WV10" s="301"/>
      <c r="WW10" s="301"/>
      <c r="WX10" s="301"/>
      <c r="WY10" s="301"/>
      <c r="WZ10" s="301"/>
      <c r="XA10" s="301"/>
      <c r="XB10" s="301"/>
      <c r="XC10" s="301"/>
      <c r="XD10" s="301"/>
      <c r="XE10" s="301"/>
      <c r="XF10" s="301"/>
      <c r="XG10" s="301"/>
      <c r="XH10" s="301"/>
      <c r="XI10" s="301"/>
      <c r="XJ10" s="301"/>
      <c r="XK10" s="301"/>
      <c r="XL10" s="301"/>
      <c r="XM10" s="301"/>
      <c r="XN10" s="301"/>
      <c r="XO10" s="301"/>
      <c r="XP10" s="301"/>
      <c r="XQ10" s="301"/>
      <c r="XR10" s="301"/>
      <c r="XS10" s="301"/>
      <c r="XT10" s="301"/>
      <c r="XU10" s="301"/>
      <c r="XV10" s="301"/>
      <c r="XW10" s="301"/>
      <c r="XX10" s="301"/>
      <c r="XY10" s="301"/>
      <c r="XZ10" s="301"/>
      <c r="YA10" s="301"/>
      <c r="YB10" s="301"/>
      <c r="YC10" s="301"/>
      <c r="YD10" s="301"/>
      <c r="YE10" s="301"/>
      <c r="YF10" s="301"/>
      <c r="YG10" s="301"/>
      <c r="YH10" s="301"/>
      <c r="YI10" s="301"/>
      <c r="YJ10" s="301"/>
      <c r="YK10" s="301"/>
      <c r="YL10" s="301"/>
      <c r="YM10" s="301"/>
      <c r="YN10" s="301"/>
      <c r="YO10" s="301"/>
      <c r="YP10" s="301"/>
      <c r="YQ10" s="301"/>
      <c r="YR10" s="301"/>
      <c r="YS10" s="301"/>
      <c r="YT10" s="301"/>
      <c r="YU10" s="301"/>
      <c r="YV10" s="301"/>
      <c r="YW10" s="301"/>
      <c r="YX10" s="301"/>
      <c r="YY10" s="301"/>
      <c r="YZ10" s="301"/>
      <c r="ZA10" s="301"/>
      <c r="ZB10" s="301"/>
      <c r="ZC10" s="301"/>
      <c r="ZD10" s="301"/>
      <c r="ZE10" s="301"/>
      <c r="ZF10" s="301"/>
      <c r="ZG10" s="301"/>
      <c r="ZH10" s="301"/>
      <c r="ZI10" s="301"/>
      <c r="ZJ10" s="301"/>
      <c r="ZK10" s="301"/>
      <c r="ZL10" s="301"/>
      <c r="ZM10" s="301"/>
      <c r="ZN10" s="301"/>
      <c r="ZO10" s="301"/>
      <c r="ZP10" s="301"/>
      <c r="ZQ10" s="301"/>
      <c r="ZR10" s="301"/>
      <c r="ZS10" s="301"/>
      <c r="ZT10" s="301"/>
      <c r="ZU10" s="301"/>
      <c r="ZV10" s="301"/>
      <c r="ZW10" s="301"/>
      <c r="ZX10" s="301"/>
      <c r="ZY10" s="301"/>
      <c r="ZZ10" s="301"/>
      <c r="AAA10" s="301"/>
      <c r="AAB10" s="301"/>
      <c r="AAC10" s="301"/>
      <c r="AAD10" s="301"/>
      <c r="AAE10" s="301"/>
      <c r="AAF10" s="301"/>
      <c r="AAG10" s="301"/>
      <c r="AAH10" s="301"/>
      <c r="AAI10" s="301"/>
      <c r="AAJ10" s="301"/>
      <c r="AAK10" s="301"/>
      <c r="AAL10" s="301"/>
      <c r="AAM10" s="301"/>
      <c r="AAN10" s="301"/>
      <c r="AAO10" s="301"/>
      <c r="AAP10" s="301"/>
      <c r="AAQ10" s="301"/>
      <c r="AAR10" s="301"/>
      <c r="AAS10" s="301"/>
      <c r="AAT10" s="301"/>
      <c r="AAU10" s="301"/>
      <c r="AAV10" s="301"/>
      <c r="AAW10" s="301"/>
      <c r="AAX10" s="301"/>
      <c r="AAY10" s="301"/>
      <c r="AAZ10" s="301"/>
      <c r="ABA10" s="301"/>
      <c r="ABB10" s="301"/>
      <c r="ABC10" s="301"/>
      <c r="ABD10" s="301"/>
      <c r="ABE10" s="301"/>
      <c r="ABF10" s="301"/>
      <c r="ABG10" s="301"/>
      <c r="ABH10" s="301"/>
      <c r="ABI10" s="301"/>
      <c r="ABJ10" s="301"/>
      <c r="ABK10" s="301"/>
      <c r="ABL10" s="301"/>
      <c r="ABM10" s="301"/>
      <c r="ABN10" s="301"/>
      <c r="ABO10" s="301"/>
      <c r="ABP10" s="301"/>
      <c r="ABQ10" s="301"/>
      <c r="ABR10" s="301"/>
      <c r="ABS10" s="301"/>
      <c r="ABT10" s="301"/>
      <c r="ABU10" s="301"/>
      <c r="ABV10" s="301"/>
      <c r="ABW10" s="301"/>
      <c r="ABX10" s="301"/>
      <c r="ABY10" s="301"/>
      <c r="ABZ10" s="301"/>
      <c r="ACA10" s="301"/>
      <c r="ACB10" s="301"/>
      <c r="ACC10" s="301"/>
      <c r="ACD10" s="301"/>
      <c r="ACE10" s="301"/>
      <c r="ACF10" s="301"/>
      <c r="ACG10" s="301"/>
      <c r="ACH10" s="301"/>
      <c r="ACI10" s="301"/>
      <c r="ACJ10" s="301"/>
      <c r="ACK10" s="301"/>
      <c r="ACL10" s="301"/>
      <c r="ACM10" s="301"/>
      <c r="ACN10" s="301"/>
      <c r="ACO10" s="301"/>
      <c r="ACP10" s="301"/>
      <c r="ACQ10" s="301"/>
      <c r="ACR10" s="301"/>
      <c r="ACS10" s="301"/>
      <c r="ACT10" s="301"/>
      <c r="ACU10" s="301"/>
      <c r="ACV10" s="301"/>
      <c r="ACW10" s="301"/>
      <c r="ACX10" s="301"/>
      <c r="ACY10" s="301"/>
      <c r="ACZ10" s="301"/>
      <c r="ADA10" s="301"/>
      <c r="ADB10" s="301"/>
      <c r="ADC10" s="301"/>
      <c r="ADD10" s="301"/>
      <c r="ADE10" s="301"/>
      <c r="ADF10" s="301"/>
      <c r="ADG10" s="301"/>
      <c r="ADH10" s="301"/>
      <c r="ADI10" s="301"/>
      <c r="ADJ10" s="301"/>
      <c r="ADK10" s="301"/>
      <c r="ADL10" s="301"/>
      <c r="ADM10" s="301"/>
      <c r="ADN10" s="301"/>
      <c r="ADO10" s="301"/>
      <c r="ADP10" s="301"/>
      <c r="ADQ10" s="301"/>
      <c r="ADR10" s="301"/>
      <c r="ADS10" s="301"/>
      <c r="ADT10" s="301"/>
      <c r="ADU10" s="301"/>
      <c r="ADV10" s="301"/>
      <c r="ADW10" s="301"/>
      <c r="ADX10" s="301"/>
      <c r="ADY10" s="301"/>
      <c r="ADZ10" s="301"/>
      <c r="AEA10" s="301"/>
      <c r="AEB10" s="301"/>
      <c r="AEC10" s="301"/>
      <c r="AED10" s="301"/>
      <c r="AEE10" s="301"/>
      <c r="AEF10" s="301"/>
      <c r="AEG10" s="301"/>
      <c r="AEH10" s="301"/>
      <c r="AEI10" s="301"/>
      <c r="AEJ10" s="301"/>
      <c r="AEK10" s="301"/>
      <c r="AEL10" s="301"/>
      <c r="AEM10" s="301"/>
      <c r="AEN10" s="301"/>
      <c r="AEO10" s="301"/>
      <c r="AEP10" s="301"/>
      <c r="AEQ10" s="301"/>
      <c r="AER10" s="301"/>
      <c r="AES10" s="301"/>
      <c r="AET10" s="301"/>
      <c r="AEU10" s="301"/>
      <c r="AEV10" s="301"/>
      <c r="AEW10" s="301"/>
      <c r="AEX10" s="301"/>
      <c r="AEY10" s="301"/>
      <c r="AEZ10" s="301"/>
      <c r="AFA10" s="301"/>
      <c r="AFB10" s="301"/>
      <c r="AFC10" s="301"/>
      <c r="AFD10" s="301"/>
      <c r="AFE10" s="301"/>
      <c r="AFF10" s="301"/>
      <c r="AFG10" s="301"/>
      <c r="AFH10" s="301"/>
      <c r="AFI10" s="301"/>
      <c r="AFJ10" s="301"/>
      <c r="AFK10" s="301"/>
      <c r="AFL10" s="301"/>
      <c r="AFM10" s="301"/>
      <c r="AFN10" s="301"/>
      <c r="AFO10" s="301"/>
      <c r="AFP10" s="301"/>
      <c r="AFQ10" s="301"/>
      <c r="AFR10" s="301"/>
      <c r="AFS10" s="301"/>
      <c r="AFT10" s="301"/>
      <c r="AFU10" s="301"/>
      <c r="AFV10" s="301"/>
      <c r="AFW10" s="301"/>
      <c r="AFX10" s="301"/>
      <c r="AFY10" s="301"/>
      <c r="AFZ10" s="301"/>
      <c r="AGA10" s="301"/>
      <c r="AGB10" s="301"/>
      <c r="AGC10" s="301"/>
      <c r="AGD10" s="301"/>
      <c r="AGE10" s="301"/>
      <c r="AGF10" s="301"/>
      <c r="AGG10" s="301"/>
      <c r="AGH10" s="301"/>
      <c r="AGI10" s="301"/>
      <c r="AGJ10" s="301"/>
      <c r="AGK10" s="301"/>
      <c r="AGL10" s="301"/>
      <c r="AGM10" s="301"/>
      <c r="AGN10" s="301"/>
      <c r="AGO10" s="301"/>
      <c r="AGP10" s="301"/>
      <c r="AGQ10" s="301"/>
      <c r="AGR10" s="301"/>
      <c r="AGS10" s="301"/>
      <c r="AGT10" s="301"/>
      <c r="AGU10" s="301"/>
      <c r="AGV10" s="301"/>
      <c r="AGW10" s="301"/>
      <c r="AGX10" s="301"/>
      <c r="AGY10" s="301"/>
      <c r="AGZ10" s="301"/>
      <c r="AHA10" s="301"/>
      <c r="AHB10" s="301"/>
      <c r="AHC10" s="301"/>
      <c r="AHD10" s="301"/>
      <c r="AHE10" s="301"/>
      <c r="AHF10" s="301"/>
      <c r="AHG10" s="301"/>
      <c r="AHH10" s="301"/>
      <c r="AHI10" s="301"/>
      <c r="AHJ10" s="301"/>
      <c r="AHK10" s="301"/>
      <c r="AHL10" s="301"/>
      <c r="AHM10" s="301"/>
      <c r="AHN10" s="301"/>
      <c r="AHO10" s="301"/>
      <c r="AHP10" s="301"/>
      <c r="AHQ10" s="301"/>
      <c r="AHR10" s="301"/>
      <c r="AHS10" s="301"/>
      <c r="AHT10" s="301"/>
      <c r="AHU10" s="301"/>
      <c r="AHV10" s="301"/>
      <c r="AHW10" s="301"/>
      <c r="AHX10" s="301"/>
      <c r="AHY10" s="301"/>
      <c r="AHZ10" s="301"/>
      <c r="AIA10" s="301"/>
      <c r="AIB10" s="301"/>
      <c r="AIC10" s="301"/>
      <c r="AID10" s="301"/>
      <c r="AIE10" s="301"/>
      <c r="AIF10" s="301"/>
      <c r="AIG10" s="301"/>
      <c r="AIH10" s="301"/>
      <c r="AII10" s="301"/>
      <c r="AIJ10" s="301"/>
      <c r="AIK10" s="301"/>
      <c r="AIL10" s="301"/>
      <c r="AIM10" s="301"/>
      <c r="AIN10" s="301"/>
      <c r="AIO10" s="301"/>
      <c r="AIP10" s="301"/>
      <c r="AIQ10" s="301"/>
      <c r="AIR10" s="301"/>
      <c r="AIS10" s="301"/>
      <c r="AIT10" s="301"/>
      <c r="AIU10" s="301"/>
      <c r="AIV10" s="301"/>
      <c r="AIW10" s="301"/>
      <c r="AIX10" s="301"/>
      <c r="AIY10" s="301"/>
      <c r="AIZ10" s="301"/>
      <c r="AJA10" s="301"/>
      <c r="AJB10" s="301"/>
      <c r="AJC10" s="301"/>
      <c r="AJD10" s="301"/>
      <c r="AJE10" s="301"/>
      <c r="AJF10" s="301"/>
      <c r="AJG10" s="301"/>
      <c r="AJH10" s="301"/>
      <c r="AJI10" s="301"/>
      <c r="AJJ10" s="301"/>
      <c r="AJK10" s="301"/>
      <c r="AJL10" s="301"/>
      <c r="AJM10" s="301"/>
      <c r="AJN10" s="301"/>
      <c r="AJO10" s="301"/>
      <c r="AJP10" s="301"/>
      <c r="AJQ10" s="301"/>
      <c r="AJR10" s="301"/>
      <c r="AJS10" s="301"/>
      <c r="AJT10" s="301"/>
      <c r="AJU10" s="301"/>
      <c r="AJV10" s="301"/>
      <c r="AJW10" s="301"/>
      <c r="AJX10" s="301"/>
      <c r="AJY10" s="301"/>
      <c r="AJZ10" s="301"/>
      <c r="AKA10" s="301"/>
      <c r="AKB10" s="301"/>
      <c r="AKC10" s="301"/>
      <c r="AKD10" s="301"/>
      <c r="AKE10" s="301"/>
      <c r="AKF10" s="301"/>
      <c r="AKG10" s="301"/>
      <c r="AKH10" s="301"/>
      <c r="AKI10" s="301"/>
      <c r="AKJ10" s="301"/>
      <c r="AKK10" s="301"/>
      <c r="AKL10" s="301"/>
      <c r="AKM10" s="301"/>
      <c r="AKN10" s="301"/>
      <c r="AKO10" s="301"/>
      <c r="AKP10" s="301"/>
      <c r="AKQ10" s="301"/>
      <c r="AKR10" s="301"/>
      <c r="AKS10" s="301"/>
      <c r="AKT10" s="301"/>
      <c r="AKU10" s="301"/>
      <c r="AKV10" s="301"/>
      <c r="AKW10" s="301"/>
      <c r="AKX10" s="301"/>
      <c r="AKY10" s="301"/>
      <c r="AKZ10" s="301"/>
      <c r="ALA10" s="301"/>
      <c r="ALB10" s="301"/>
      <c r="ALC10" s="301"/>
      <c r="ALD10" s="301"/>
      <c r="ALE10" s="301"/>
      <c r="ALF10" s="301"/>
      <c r="ALG10" s="301"/>
      <c r="ALH10" s="301"/>
      <c r="ALI10" s="301"/>
      <c r="ALJ10" s="301"/>
      <c r="ALK10" s="301"/>
      <c r="ALL10" s="301"/>
      <c r="ALM10" s="301"/>
      <c r="ALN10" s="301"/>
      <c r="ALO10" s="301"/>
      <c r="ALP10" s="301"/>
      <c r="ALQ10" s="301"/>
      <c r="ALR10" s="301"/>
      <c r="ALS10" s="301"/>
      <c r="ALT10" s="301"/>
      <c r="ALU10" s="301"/>
      <c r="ALV10" s="301"/>
      <c r="ALW10" s="301"/>
      <c r="ALX10" s="301"/>
      <c r="ALY10" s="301"/>
      <c r="ALZ10" s="301"/>
      <c r="AMA10" s="301"/>
      <c r="AMB10" s="301"/>
      <c r="AMC10" s="301"/>
      <c r="AMD10" s="301"/>
      <c r="AME10" s="301"/>
      <c r="AMF10" s="301"/>
      <c r="AMG10" s="301"/>
      <c r="AMH10" s="301"/>
      <c r="AMI10" s="301"/>
      <c r="AMJ10" s="301"/>
    </row>
    <row r="11" customFormat="false" ht="13.35" hidden="false" customHeight="false" outlineLevel="0" collapsed="false">
      <c r="A11" s="299" t="s">
        <v>195</v>
      </c>
      <c r="B11" s="310"/>
      <c r="C11" s="311" t="str">
        <f aca="false">IF(B11&gt;0,1,"")</f>
        <v/>
      </c>
      <c r="D11" s="310"/>
      <c r="E11" s="311" t="str">
        <f aca="false">IF(D11&gt;0,1,"")</f>
        <v/>
      </c>
      <c r="F11" s="312" t="str">
        <f aca="false">IF(M11="no","0",SUM((Worksheet!N5-Worksheet!N7+SUM(Worksheet!N40*(1-Worksheet!N8))/12)))</f>
        <v>0</v>
      </c>
      <c r="G11" s="311" t="n">
        <f aca="false">IF(F11&gt;0,1,"")</f>
        <v>1</v>
      </c>
      <c r="H11" s="310"/>
      <c r="I11" s="311" t="str">
        <f aca="false">IF(H11&gt;0,1,"")</f>
        <v/>
      </c>
      <c r="J11" s="313" t="n">
        <f aca="false">IF(SUM(C11,E11,G11,I11)&gt;1,"ERROR",IF(B11&gt;=1,B11*52,IF(D11&gt;=1,D11*26,IF(F11&gt;=1,F11*12,IF(H11&gt;=1,H11*4,"")))))</f>
        <v>0</v>
      </c>
      <c r="K11" s="301"/>
      <c r="L11" s="314" t="s">
        <v>196</v>
      </c>
      <c r="M11" s="315" t="s">
        <v>197</v>
      </c>
      <c r="N11" s="1"/>
      <c r="O11" s="301"/>
      <c r="P11" s="301"/>
      <c r="Q11" s="301"/>
      <c r="R11" s="301"/>
      <c r="S11" s="301"/>
      <c r="T11" s="301"/>
      <c r="U11" s="301"/>
      <c r="V11" s="301"/>
      <c r="W11" s="301"/>
      <c r="X11" s="301"/>
      <c r="Y11" s="301"/>
      <c r="Z11" s="301"/>
      <c r="AA11" s="301"/>
      <c r="AB11" s="301"/>
      <c r="AC11" s="301"/>
      <c r="AD11" s="301"/>
      <c r="AE11" s="301"/>
      <c r="AF11" s="301"/>
      <c r="AG11" s="301"/>
      <c r="AH11" s="301"/>
      <c r="AI11" s="301"/>
      <c r="AJ11" s="301"/>
      <c r="AK11" s="301"/>
      <c r="AL11" s="301"/>
      <c r="AM11" s="301"/>
      <c r="AN11" s="301"/>
      <c r="AO11" s="301"/>
      <c r="AP11" s="301"/>
      <c r="AQ11" s="301"/>
      <c r="AR11" s="301"/>
      <c r="AS11" s="301"/>
      <c r="AT11" s="301"/>
      <c r="AU11" s="301"/>
      <c r="AV11" s="301"/>
      <c r="AW11" s="301"/>
      <c r="AX11" s="301"/>
      <c r="AY11" s="301"/>
      <c r="AZ11" s="301"/>
      <c r="BA11" s="301"/>
      <c r="BB11" s="301"/>
      <c r="BC11" s="301"/>
      <c r="BD11" s="301"/>
      <c r="BE11" s="301"/>
      <c r="BF11" s="301"/>
      <c r="BG11" s="301"/>
      <c r="BH11" s="301"/>
      <c r="BI11" s="301"/>
      <c r="BJ11" s="301"/>
      <c r="BK11" s="301"/>
      <c r="BL11" s="301"/>
      <c r="BM11" s="301"/>
      <c r="BN11" s="301"/>
      <c r="BO11" s="301"/>
      <c r="BP11" s="301"/>
      <c r="BQ11" s="301"/>
      <c r="BR11" s="301"/>
      <c r="BS11" s="301"/>
      <c r="BT11" s="301"/>
      <c r="BU11" s="301"/>
      <c r="BV11" s="301"/>
      <c r="BW11" s="301"/>
      <c r="BX11" s="301"/>
      <c r="BY11" s="301"/>
      <c r="BZ11" s="301"/>
      <c r="CA11" s="301"/>
      <c r="CB11" s="301"/>
      <c r="CC11" s="301"/>
      <c r="CD11" s="301"/>
      <c r="CE11" s="301"/>
      <c r="CF11" s="301"/>
      <c r="CG11" s="301"/>
      <c r="CH11" s="301"/>
      <c r="CI11" s="301"/>
      <c r="CJ11" s="301"/>
      <c r="CK11" s="301"/>
      <c r="CL11" s="301"/>
      <c r="CM11" s="301"/>
      <c r="CN11" s="301"/>
      <c r="CO11" s="301"/>
      <c r="CP11" s="301"/>
      <c r="CQ11" s="301"/>
      <c r="CR11" s="301"/>
      <c r="CS11" s="301"/>
      <c r="CT11" s="301"/>
      <c r="CU11" s="301"/>
      <c r="CV11" s="301"/>
      <c r="CW11" s="301"/>
      <c r="CX11" s="301"/>
      <c r="CY11" s="301"/>
      <c r="CZ11" s="301"/>
      <c r="DA11" s="301"/>
      <c r="DB11" s="301"/>
      <c r="DC11" s="301"/>
      <c r="DD11" s="301"/>
      <c r="DE11" s="301"/>
      <c r="DF11" s="301"/>
      <c r="DG11" s="301"/>
      <c r="DH11" s="301"/>
      <c r="DI11" s="301"/>
      <c r="DJ11" s="301"/>
      <c r="DK11" s="301"/>
      <c r="DL11" s="301"/>
      <c r="DM11" s="301"/>
      <c r="DN11" s="301"/>
      <c r="DO11" s="301"/>
      <c r="DP11" s="301"/>
      <c r="DQ11" s="301"/>
      <c r="DR11" s="301"/>
      <c r="DS11" s="301"/>
      <c r="DT11" s="301"/>
      <c r="DU11" s="301"/>
      <c r="DV11" s="301"/>
      <c r="DW11" s="301"/>
      <c r="DX11" s="301"/>
      <c r="DY11" s="301"/>
      <c r="DZ11" s="301"/>
      <c r="EA11" s="301"/>
      <c r="EB11" s="301"/>
      <c r="EC11" s="301"/>
      <c r="ED11" s="301"/>
      <c r="EE11" s="301"/>
      <c r="EF11" s="301"/>
      <c r="EG11" s="301"/>
      <c r="EH11" s="301"/>
      <c r="EI11" s="301"/>
      <c r="EJ11" s="301"/>
      <c r="EK11" s="301"/>
      <c r="EL11" s="301"/>
      <c r="EM11" s="301"/>
      <c r="EN11" s="301"/>
      <c r="EO11" s="301"/>
      <c r="EP11" s="301"/>
      <c r="EQ11" s="301"/>
      <c r="ER11" s="301"/>
      <c r="ES11" s="301"/>
      <c r="ET11" s="301"/>
      <c r="EU11" s="301"/>
      <c r="EV11" s="301"/>
      <c r="EW11" s="301"/>
      <c r="EX11" s="301"/>
      <c r="EY11" s="301"/>
      <c r="EZ11" s="301"/>
      <c r="FA11" s="301"/>
      <c r="FB11" s="301"/>
      <c r="FC11" s="301"/>
      <c r="FD11" s="301"/>
      <c r="FE11" s="301"/>
      <c r="FF11" s="301"/>
      <c r="FG11" s="301"/>
      <c r="FH11" s="301"/>
      <c r="FI11" s="301"/>
      <c r="FJ11" s="301"/>
      <c r="FK11" s="301"/>
      <c r="FL11" s="301"/>
      <c r="FM11" s="301"/>
      <c r="FN11" s="301"/>
      <c r="FO11" s="301"/>
      <c r="FP11" s="301"/>
      <c r="FQ11" s="301"/>
      <c r="FR11" s="301"/>
      <c r="FS11" s="301"/>
      <c r="FT11" s="301"/>
      <c r="FU11" s="301"/>
      <c r="FV11" s="301"/>
      <c r="FW11" s="301"/>
      <c r="FX11" s="301"/>
      <c r="FY11" s="301"/>
      <c r="FZ11" s="301"/>
      <c r="GA11" s="301"/>
      <c r="GB11" s="301"/>
      <c r="GC11" s="301"/>
      <c r="GD11" s="301"/>
      <c r="GE11" s="301"/>
      <c r="GF11" s="301"/>
      <c r="GG11" s="301"/>
      <c r="GH11" s="301"/>
      <c r="GI11" s="301"/>
      <c r="GJ11" s="301"/>
      <c r="GK11" s="301"/>
      <c r="GL11" s="301"/>
      <c r="GM11" s="301"/>
      <c r="GN11" s="301"/>
      <c r="GO11" s="301"/>
      <c r="GP11" s="301"/>
      <c r="GQ11" s="301"/>
      <c r="GR11" s="301"/>
      <c r="GS11" s="301"/>
      <c r="GT11" s="301"/>
      <c r="GU11" s="301"/>
      <c r="GV11" s="301"/>
      <c r="GW11" s="301"/>
      <c r="GX11" s="301"/>
      <c r="GY11" s="301"/>
      <c r="GZ11" s="301"/>
      <c r="HA11" s="301"/>
      <c r="HB11" s="301"/>
      <c r="HC11" s="301"/>
      <c r="HD11" s="301"/>
      <c r="HE11" s="301"/>
      <c r="HF11" s="301"/>
      <c r="HG11" s="301"/>
      <c r="HH11" s="301"/>
      <c r="HI11" s="301"/>
      <c r="HJ11" s="301"/>
      <c r="HK11" s="301"/>
      <c r="HL11" s="301"/>
      <c r="HM11" s="301"/>
      <c r="HN11" s="301"/>
      <c r="HO11" s="301"/>
      <c r="HP11" s="301"/>
      <c r="HQ11" s="301"/>
      <c r="HR11" s="301"/>
      <c r="HS11" s="301"/>
      <c r="HT11" s="301"/>
      <c r="HU11" s="301"/>
      <c r="HV11" s="301"/>
      <c r="HW11" s="301"/>
      <c r="HX11" s="301"/>
      <c r="HY11" s="301"/>
      <c r="HZ11" s="301"/>
      <c r="IA11" s="301"/>
      <c r="IB11" s="301"/>
      <c r="IC11" s="301"/>
      <c r="ID11" s="301"/>
      <c r="IE11" s="301"/>
      <c r="IF11" s="301"/>
      <c r="IG11" s="301"/>
      <c r="IH11" s="301"/>
      <c r="II11" s="301"/>
      <c r="IJ11" s="301"/>
      <c r="IK11" s="301"/>
      <c r="IL11" s="301"/>
      <c r="IM11" s="301"/>
      <c r="IN11" s="301"/>
      <c r="IO11" s="301"/>
      <c r="IP11" s="301"/>
      <c r="IQ11" s="301"/>
      <c r="IR11" s="301"/>
      <c r="IS11" s="301"/>
      <c r="IT11" s="301"/>
      <c r="IU11" s="301"/>
      <c r="IV11" s="301"/>
      <c r="IW11" s="301"/>
      <c r="IX11" s="301"/>
      <c r="IY11" s="301"/>
      <c r="IZ11" s="301"/>
      <c r="JA11" s="301"/>
      <c r="JB11" s="301"/>
      <c r="JC11" s="301"/>
      <c r="JD11" s="301"/>
      <c r="JE11" s="301"/>
      <c r="JF11" s="301"/>
      <c r="JG11" s="301"/>
      <c r="JH11" s="301"/>
      <c r="JI11" s="301"/>
      <c r="JJ11" s="301"/>
      <c r="JK11" s="301"/>
      <c r="JL11" s="301"/>
      <c r="JM11" s="301"/>
      <c r="JN11" s="301"/>
      <c r="JO11" s="301"/>
      <c r="JP11" s="301"/>
      <c r="JQ11" s="301"/>
      <c r="JR11" s="301"/>
      <c r="JS11" s="301"/>
      <c r="JT11" s="301"/>
      <c r="JU11" s="301"/>
      <c r="JV11" s="301"/>
      <c r="JW11" s="301"/>
      <c r="JX11" s="301"/>
      <c r="JY11" s="301"/>
      <c r="JZ11" s="301"/>
      <c r="KA11" s="301"/>
      <c r="KB11" s="301"/>
      <c r="KC11" s="301"/>
      <c r="KD11" s="301"/>
      <c r="KE11" s="301"/>
      <c r="KF11" s="301"/>
      <c r="KG11" s="301"/>
      <c r="KH11" s="301"/>
      <c r="KI11" s="301"/>
      <c r="KJ11" s="301"/>
      <c r="KK11" s="301"/>
      <c r="KL11" s="301"/>
      <c r="KM11" s="301"/>
      <c r="KN11" s="301"/>
      <c r="KO11" s="301"/>
      <c r="KP11" s="301"/>
      <c r="KQ11" s="301"/>
      <c r="KR11" s="301"/>
      <c r="KS11" s="301"/>
      <c r="KT11" s="301"/>
      <c r="KU11" s="301"/>
      <c r="KV11" s="301"/>
      <c r="KW11" s="301"/>
      <c r="KX11" s="301"/>
      <c r="KY11" s="301"/>
      <c r="KZ11" s="301"/>
      <c r="LA11" s="301"/>
      <c r="LB11" s="301"/>
      <c r="LC11" s="301"/>
      <c r="LD11" s="301"/>
      <c r="LE11" s="301"/>
      <c r="LF11" s="301"/>
      <c r="LG11" s="301"/>
      <c r="LH11" s="301"/>
      <c r="LI11" s="301"/>
      <c r="LJ11" s="301"/>
      <c r="LK11" s="301"/>
      <c r="LL11" s="301"/>
      <c r="LM11" s="301"/>
      <c r="LN11" s="301"/>
      <c r="LO11" s="301"/>
      <c r="LP11" s="301"/>
      <c r="LQ11" s="301"/>
      <c r="LR11" s="301"/>
      <c r="LS11" s="301"/>
      <c r="LT11" s="301"/>
      <c r="LU11" s="301"/>
      <c r="LV11" s="301"/>
      <c r="LW11" s="301"/>
      <c r="LX11" s="301"/>
      <c r="LY11" s="301"/>
      <c r="LZ11" s="301"/>
      <c r="MA11" s="301"/>
      <c r="MB11" s="301"/>
      <c r="MC11" s="301"/>
      <c r="MD11" s="301"/>
      <c r="ME11" s="301"/>
      <c r="MF11" s="301"/>
      <c r="MG11" s="301"/>
      <c r="MH11" s="301"/>
      <c r="MI11" s="301"/>
      <c r="MJ11" s="301"/>
      <c r="MK11" s="301"/>
      <c r="ML11" s="301"/>
      <c r="MM11" s="301"/>
      <c r="MN11" s="301"/>
      <c r="MO11" s="301"/>
      <c r="MP11" s="301"/>
      <c r="MQ11" s="301"/>
      <c r="MR11" s="301"/>
      <c r="MS11" s="301"/>
      <c r="MT11" s="301"/>
      <c r="MU11" s="301"/>
      <c r="MV11" s="301"/>
      <c r="MW11" s="301"/>
      <c r="MX11" s="301"/>
      <c r="MY11" s="301"/>
      <c r="MZ11" s="301"/>
      <c r="NA11" s="301"/>
      <c r="NB11" s="301"/>
      <c r="NC11" s="301"/>
      <c r="ND11" s="301"/>
      <c r="NE11" s="301"/>
      <c r="NF11" s="301"/>
      <c r="NG11" s="301"/>
      <c r="NH11" s="301"/>
      <c r="NI11" s="301"/>
      <c r="NJ11" s="301"/>
      <c r="NK11" s="301"/>
      <c r="NL11" s="301"/>
      <c r="NM11" s="301"/>
      <c r="NN11" s="301"/>
      <c r="NO11" s="301"/>
      <c r="NP11" s="301"/>
      <c r="NQ11" s="301"/>
      <c r="NR11" s="301"/>
      <c r="NS11" s="301"/>
      <c r="NT11" s="301"/>
      <c r="NU11" s="301"/>
      <c r="NV11" s="301"/>
      <c r="NW11" s="301"/>
      <c r="NX11" s="301"/>
      <c r="NY11" s="301"/>
      <c r="NZ11" s="301"/>
      <c r="OA11" s="301"/>
      <c r="OB11" s="301"/>
      <c r="OC11" s="301"/>
      <c r="OD11" s="301"/>
      <c r="OE11" s="301"/>
      <c r="OF11" s="301"/>
      <c r="OG11" s="301"/>
      <c r="OH11" s="301"/>
      <c r="OI11" s="301"/>
      <c r="OJ11" s="301"/>
      <c r="OK11" s="301"/>
      <c r="OL11" s="301"/>
      <c r="OM11" s="301"/>
      <c r="ON11" s="301"/>
      <c r="OO11" s="301"/>
      <c r="OP11" s="301"/>
      <c r="OQ11" s="301"/>
      <c r="OR11" s="301"/>
      <c r="OS11" s="301"/>
      <c r="OT11" s="301"/>
      <c r="OU11" s="301"/>
      <c r="OV11" s="301"/>
      <c r="OW11" s="301"/>
      <c r="OX11" s="301"/>
      <c r="OY11" s="301"/>
      <c r="OZ11" s="301"/>
      <c r="PA11" s="301"/>
      <c r="PB11" s="301"/>
      <c r="PC11" s="301"/>
      <c r="PD11" s="301"/>
      <c r="PE11" s="301"/>
      <c r="PF11" s="301"/>
      <c r="PG11" s="301"/>
      <c r="PH11" s="301"/>
      <c r="PI11" s="301"/>
      <c r="PJ11" s="301"/>
      <c r="PK11" s="301"/>
      <c r="PL11" s="301"/>
      <c r="PM11" s="301"/>
      <c r="PN11" s="301"/>
      <c r="PO11" s="301"/>
      <c r="PP11" s="301"/>
      <c r="PQ11" s="301"/>
      <c r="PR11" s="301"/>
      <c r="PS11" s="301"/>
      <c r="PT11" s="301"/>
      <c r="PU11" s="301"/>
      <c r="PV11" s="301"/>
      <c r="PW11" s="301"/>
      <c r="PX11" s="301"/>
      <c r="PY11" s="301"/>
      <c r="PZ11" s="301"/>
      <c r="QA11" s="301"/>
      <c r="QB11" s="301"/>
      <c r="QC11" s="301"/>
      <c r="QD11" s="301"/>
      <c r="QE11" s="301"/>
      <c r="QF11" s="301"/>
      <c r="QG11" s="301"/>
      <c r="QH11" s="301"/>
      <c r="QI11" s="301"/>
      <c r="QJ11" s="301"/>
      <c r="QK11" s="301"/>
      <c r="QL11" s="301"/>
      <c r="QM11" s="301"/>
      <c r="QN11" s="301"/>
      <c r="QO11" s="301"/>
      <c r="QP11" s="301"/>
      <c r="QQ11" s="301"/>
      <c r="QR11" s="301"/>
      <c r="QS11" s="301"/>
      <c r="QT11" s="301"/>
      <c r="QU11" s="301"/>
      <c r="QV11" s="301"/>
      <c r="QW11" s="301"/>
      <c r="QX11" s="301"/>
      <c r="QY11" s="301"/>
      <c r="QZ11" s="301"/>
      <c r="RA11" s="301"/>
      <c r="RB11" s="301"/>
      <c r="RC11" s="301"/>
      <c r="RD11" s="301"/>
      <c r="RE11" s="301"/>
      <c r="RF11" s="301"/>
      <c r="RG11" s="301"/>
      <c r="RH11" s="301"/>
      <c r="RI11" s="301"/>
      <c r="RJ11" s="301"/>
      <c r="RK11" s="301"/>
      <c r="RL11" s="301"/>
      <c r="RM11" s="301"/>
      <c r="RN11" s="301"/>
      <c r="RO11" s="301"/>
      <c r="RP11" s="301"/>
      <c r="RQ11" s="301"/>
      <c r="RR11" s="301"/>
      <c r="RS11" s="301"/>
      <c r="RT11" s="301"/>
      <c r="RU11" s="301"/>
      <c r="RV11" s="301"/>
      <c r="RW11" s="301"/>
      <c r="RX11" s="301"/>
      <c r="RY11" s="301"/>
      <c r="RZ11" s="301"/>
      <c r="SA11" s="301"/>
      <c r="SB11" s="301"/>
      <c r="SC11" s="301"/>
      <c r="SD11" s="301"/>
      <c r="SE11" s="301"/>
      <c r="SF11" s="301"/>
      <c r="SG11" s="301"/>
      <c r="SH11" s="301"/>
      <c r="SI11" s="301"/>
      <c r="SJ11" s="301"/>
      <c r="SK11" s="301"/>
      <c r="SL11" s="301"/>
      <c r="SM11" s="301"/>
      <c r="SN11" s="301"/>
      <c r="SO11" s="301"/>
      <c r="SP11" s="301"/>
      <c r="SQ11" s="301"/>
      <c r="SR11" s="301"/>
      <c r="SS11" s="301"/>
      <c r="ST11" s="301"/>
      <c r="SU11" s="301"/>
      <c r="SV11" s="301"/>
      <c r="SW11" s="301"/>
      <c r="SX11" s="301"/>
      <c r="SY11" s="301"/>
      <c r="SZ11" s="301"/>
      <c r="TA11" s="301"/>
      <c r="TB11" s="301"/>
      <c r="TC11" s="301"/>
      <c r="TD11" s="301"/>
      <c r="TE11" s="301"/>
      <c r="TF11" s="301"/>
      <c r="TG11" s="301"/>
      <c r="TH11" s="301"/>
      <c r="TI11" s="301"/>
      <c r="TJ11" s="301"/>
      <c r="TK11" s="301"/>
      <c r="TL11" s="301"/>
      <c r="TM11" s="301"/>
      <c r="TN11" s="301"/>
      <c r="TO11" s="301"/>
      <c r="TP11" s="301"/>
      <c r="TQ11" s="301"/>
      <c r="TR11" s="301"/>
      <c r="TS11" s="301"/>
      <c r="TT11" s="301"/>
      <c r="TU11" s="301"/>
      <c r="TV11" s="301"/>
      <c r="TW11" s="301"/>
      <c r="TX11" s="301"/>
      <c r="TY11" s="301"/>
      <c r="TZ11" s="301"/>
      <c r="UA11" s="301"/>
      <c r="UB11" s="301"/>
      <c r="UC11" s="301"/>
      <c r="UD11" s="301"/>
      <c r="UE11" s="301"/>
      <c r="UF11" s="301"/>
      <c r="UG11" s="301"/>
      <c r="UH11" s="301"/>
      <c r="UI11" s="301"/>
      <c r="UJ11" s="301"/>
      <c r="UK11" s="301"/>
      <c r="UL11" s="301"/>
      <c r="UM11" s="301"/>
      <c r="UN11" s="301"/>
      <c r="UO11" s="301"/>
      <c r="UP11" s="301"/>
      <c r="UQ11" s="301"/>
      <c r="UR11" s="301"/>
      <c r="US11" s="301"/>
      <c r="UT11" s="301"/>
      <c r="UU11" s="301"/>
      <c r="UV11" s="301"/>
      <c r="UW11" s="301"/>
      <c r="UX11" s="301"/>
      <c r="UY11" s="301"/>
      <c r="UZ11" s="301"/>
      <c r="VA11" s="301"/>
      <c r="VB11" s="301"/>
      <c r="VC11" s="301"/>
      <c r="VD11" s="301"/>
      <c r="VE11" s="301"/>
      <c r="VF11" s="301"/>
      <c r="VG11" s="301"/>
      <c r="VH11" s="301"/>
      <c r="VI11" s="301"/>
      <c r="VJ11" s="301"/>
      <c r="VK11" s="301"/>
      <c r="VL11" s="301"/>
      <c r="VM11" s="301"/>
      <c r="VN11" s="301"/>
      <c r="VO11" s="301"/>
      <c r="VP11" s="301"/>
      <c r="VQ11" s="301"/>
      <c r="VR11" s="301"/>
      <c r="VS11" s="301"/>
      <c r="VT11" s="301"/>
      <c r="VU11" s="301"/>
      <c r="VV11" s="301"/>
      <c r="VW11" s="301"/>
      <c r="VX11" s="301"/>
      <c r="VY11" s="301"/>
      <c r="VZ11" s="301"/>
      <c r="WA11" s="301"/>
      <c r="WB11" s="301"/>
      <c r="WC11" s="301"/>
      <c r="WD11" s="301"/>
      <c r="WE11" s="301"/>
      <c r="WF11" s="301"/>
      <c r="WG11" s="301"/>
      <c r="WH11" s="301"/>
      <c r="WI11" s="301"/>
      <c r="WJ11" s="301"/>
      <c r="WK11" s="301"/>
      <c r="WL11" s="301"/>
      <c r="WM11" s="301"/>
      <c r="WN11" s="301"/>
      <c r="WO11" s="301"/>
      <c r="WP11" s="301"/>
      <c r="WQ11" s="301"/>
      <c r="WR11" s="301"/>
      <c r="WS11" s="301"/>
      <c r="WT11" s="301"/>
      <c r="WU11" s="301"/>
      <c r="WV11" s="301"/>
      <c r="WW11" s="301"/>
      <c r="WX11" s="301"/>
      <c r="WY11" s="301"/>
      <c r="WZ11" s="301"/>
      <c r="XA11" s="301"/>
      <c r="XB11" s="301"/>
      <c r="XC11" s="301"/>
      <c r="XD11" s="301"/>
      <c r="XE11" s="301"/>
      <c r="XF11" s="301"/>
      <c r="XG11" s="301"/>
      <c r="XH11" s="301"/>
      <c r="XI11" s="301"/>
      <c r="XJ11" s="301"/>
      <c r="XK11" s="301"/>
      <c r="XL11" s="301"/>
      <c r="XM11" s="301"/>
      <c r="XN11" s="301"/>
      <c r="XO11" s="301"/>
      <c r="XP11" s="301"/>
      <c r="XQ11" s="301"/>
      <c r="XR11" s="301"/>
      <c r="XS11" s="301"/>
      <c r="XT11" s="301"/>
      <c r="XU11" s="301"/>
      <c r="XV11" s="301"/>
      <c r="XW11" s="301"/>
      <c r="XX11" s="301"/>
      <c r="XY11" s="301"/>
      <c r="XZ11" s="301"/>
      <c r="YA11" s="301"/>
      <c r="YB11" s="301"/>
      <c r="YC11" s="301"/>
      <c r="YD11" s="301"/>
      <c r="YE11" s="301"/>
      <c r="YF11" s="301"/>
      <c r="YG11" s="301"/>
      <c r="YH11" s="301"/>
      <c r="YI11" s="301"/>
      <c r="YJ11" s="301"/>
      <c r="YK11" s="301"/>
      <c r="YL11" s="301"/>
      <c r="YM11" s="301"/>
      <c r="YN11" s="301"/>
      <c r="YO11" s="301"/>
      <c r="YP11" s="301"/>
      <c r="YQ11" s="301"/>
      <c r="YR11" s="301"/>
      <c r="YS11" s="301"/>
      <c r="YT11" s="301"/>
      <c r="YU11" s="301"/>
      <c r="YV11" s="301"/>
      <c r="YW11" s="301"/>
      <c r="YX11" s="301"/>
      <c r="YY11" s="301"/>
      <c r="YZ11" s="301"/>
      <c r="ZA11" s="301"/>
      <c r="ZB11" s="301"/>
      <c r="ZC11" s="301"/>
      <c r="ZD11" s="301"/>
      <c r="ZE11" s="301"/>
      <c r="ZF11" s="301"/>
      <c r="ZG11" s="301"/>
      <c r="ZH11" s="301"/>
      <c r="ZI11" s="301"/>
      <c r="ZJ11" s="301"/>
      <c r="ZK11" s="301"/>
      <c r="ZL11" s="301"/>
      <c r="ZM11" s="301"/>
      <c r="ZN11" s="301"/>
      <c r="ZO11" s="301"/>
      <c r="ZP11" s="301"/>
      <c r="ZQ11" s="301"/>
      <c r="ZR11" s="301"/>
      <c r="ZS11" s="301"/>
      <c r="ZT11" s="301"/>
      <c r="ZU11" s="301"/>
      <c r="ZV11" s="301"/>
      <c r="ZW11" s="301"/>
      <c r="ZX11" s="301"/>
      <c r="ZY11" s="301"/>
      <c r="ZZ11" s="301"/>
      <c r="AAA11" s="301"/>
      <c r="AAB11" s="301"/>
      <c r="AAC11" s="301"/>
      <c r="AAD11" s="301"/>
      <c r="AAE11" s="301"/>
      <c r="AAF11" s="301"/>
      <c r="AAG11" s="301"/>
      <c r="AAH11" s="301"/>
      <c r="AAI11" s="301"/>
      <c r="AAJ11" s="301"/>
      <c r="AAK11" s="301"/>
      <c r="AAL11" s="301"/>
      <c r="AAM11" s="301"/>
      <c r="AAN11" s="301"/>
      <c r="AAO11" s="301"/>
      <c r="AAP11" s="301"/>
      <c r="AAQ11" s="301"/>
      <c r="AAR11" s="301"/>
      <c r="AAS11" s="301"/>
      <c r="AAT11" s="301"/>
      <c r="AAU11" s="301"/>
      <c r="AAV11" s="301"/>
      <c r="AAW11" s="301"/>
      <c r="AAX11" s="301"/>
      <c r="AAY11" s="301"/>
      <c r="AAZ11" s="301"/>
      <c r="ABA11" s="301"/>
      <c r="ABB11" s="301"/>
      <c r="ABC11" s="301"/>
      <c r="ABD11" s="301"/>
      <c r="ABE11" s="301"/>
      <c r="ABF11" s="301"/>
      <c r="ABG11" s="301"/>
      <c r="ABH11" s="301"/>
      <c r="ABI11" s="301"/>
      <c r="ABJ11" s="301"/>
      <c r="ABK11" s="301"/>
      <c r="ABL11" s="301"/>
      <c r="ABM11" s="301"/>
      <c r="ABN11" s="301"/>
      <c r="ABO11" s="301"/>
      <c r="ABP11" s="301"/>
      <c r="ABQ11" s="301"/>
      <c r="ABR11" s="301"/>
      <c r="ABS11" s="301"/>
      <c r="ABT11" s="301"/>
      <c r="ABU11" s="301"/>
      <c r="ABV11" s="301"/>
      <c r="ABW11" s="301"/>
      <c r="ABX11" s="301"/>
      <c r="ABY11" s="301"/>
      <c r="ABZ11" s="301"/>
      <c r="ACA11" s="301"/>
      <c r="ACB11" s="301"/>
      <c r="ACC11" s="301"/>
      <c r="ACD11" s="301"/>
      <c r="ACE11" s="301"/>
      <c r="ACF11" s="301"/>
      <c r="ACG11" s="301"/>
      <c r="ACH11" s="301"/>
      <c r="ACI11" s="301"/>
      <c r="ACJ11" s="301"/>
      <c r="ACK11" s="301"/>
      <c r="ACL11" s="301"/>
      <c r="ACM11" s="301"/>
      <c r="ACN11" s="301"/>
      <c r="ACO11" s="301"/>
      <c r="ACP11" s="301"/>
      <c r="ACQ11" s="301"/>
      <c r="ACR11" s="301"/>
      <c r="ACS11" s="301"/>
      <c r="ACT11" s="301"/>
      <c r="ACU11" s="301"/>
      <c r="ACV11" s="301"/>
      <c r="ACW11" s="301"/>
      <c r="ACX11" s="301"/>
      <c r="ACY11" s="301"/>
      <c r="ACZ11" s="301"/>
      <c r="ADA11" s="301"/>
      <c r="ADB11" s="301"/>
      <c r="ADC11" s="301"/>
      <c r="ADD11" s="301"/>
      <c r="ADE11" s="301"/>
      <c r="ADF11" s="301"/>
      <c r="ADG11" s="301"/>
      <c r="ADH11" s="301"/>
      <c r="ADI11" s="301"/>
      <c r="ADJ11" s="301"/>
      <c r="ADK11" s="301"/>
      <c r="ADL11" s="301"/>
      <c r="ADM11" s="301"/>
      <c r="ADN11" s="301"/>
      <c r="ADO11" s="301"/>
      <c r="ADP11" s="301"/>
      <c r="ADQ11" s="301"/>
      <c r="ADR11" s="301"/>
      <c r="ADS11" s="301"/>
      <c r="ADT11" s="301"/>
      <c r="ADU11" s="301"/>
      <c r="ADV11" s="301"/>
      <c r="ADW11" s="301"/>
      <c r="ADX11" s="301"/>
      <c r="ADY11" s="301"/>
      <c r="ADZ11" s="301"/>
      <c r="AEA11" s="301"/>
      <c r="AEB11" s="301"/>
      <c r="AEC11" s="301"/>
      <c r="AED11" s="301"/>
      <c r="AEE11" s="301"/>
      <c r="AEF11" s="301"/>
      <c r="AEG11" s="301"/>
      <c r="AEH11" s="301"/>
      <c r="AEI11" s="301"/>
      <c r="AEJ11" s="301"/>
      <c r="AEK11" s="301"/>
      <c r="AEL11" s="301"/>
      <c r="AEM11" s="301"/>
      <c r="AEN11" s="301"/>
      <c r="AEO11" s="301"/>
      <c r="AEP11" s="301"/>
      <c r="AEQ11" s="301"/>
      <c r="AER11" s="301"/>
      <c r="AES11" s="301"/>
      <c r="AET11" s="301"/>
      <c r="AEU11" s="301"/>
      <c r="AEV11" s="301"/>
      <c r="AEW11" s="301"/>
      <c r="AEX11" s="301"/>
      <c r="AEY11" s="301"/>
      <c r="AEZ11" s="301"/>
      <c r="AFA11" s="301"/>
      <c r="AFB11" s="301"/>
      <c r="AFC11" s="301"/>
      <c r="AFD11" s="301"/>
      <c r="AFE11" s="301"/>
      <c r="AFF11" s="301"/>
      <c r="AFG11" s="301"/>
      <c r="AFH11" s="301"/>
      <c r="AFI11" s="301"/>
      <c r="AFJ11" s="301"/>
      <c r="AFK11" s="301"/>
      <c r="AFL11" s="301"/>
      <c r="AFM11" s="301"/>
      <c r="AFN11" s="301"/>
      <c r="AFO11" s="301"/>
      <c r="AFP11" s="301"/>
      <c r="AFQ11" s="301"/>
      <c r="AFR11" s="301"/>
      <c r="AFS11" s="301"/>
      <c r="AFT11" s="301"/>
      <c r="AFU11" s="301"/>
      <c r="AFV11" s="301"/>
      <c r="AFW11" s="301"/>
      <c r="AFX11" s="301"/>
      <c r="AFY11" s="301"/>
      <c r="AFZ11" s="301"/>
      <c r="AGA11" s="301"/>
      <c r="AGB11" s="301"/>
      <c r="AGC11" s="301"/>
      <c r="AGD11" s="301"/>
      <c r="AGE11" s="301"/>
      <c r="AGF11" s="301"/>
      <c r="AGG11" s="301"/>
      <c r="AGH11" s="301"/>
      <c r="AGI11" s="301"/>
      <c r="AGJ11" s="301"/>
      <c r="AGK11" s="301"/>
      <c r="AGL11" s="301"/>
      <c r="AGM11" s="301"/>
      <c r="AGN11" s="301"/>
      <c r="AGO11" s="301"/>
      <c r="AGP11" s="301"/>
      <c r="AGQ11" s="301"/>
      <c r="AGR11" s="301"/>
      <c r="AGS11" s="301"/>
      <c r="AGT11" s="301"/>
      <c r="AGU11" s="301"/>
      <c r="AGV11" s="301"/>
      <c r="AGW11" s="301"/>
      <c r="AGX11" s="301"/>
      <c r="AGY11" s="301"/>
      <c r="AGZ11" s="301"/>
      <c r="AHA11" s="301"/>
      <c r="AHB11" s="301"/>
      <c r="AHC11" s="301"/>
      <c r="AHD11" s="301"/>
      <c r="AHE11" s="301"/>
      <c r="AHF11" s="301"/>
      <c r="AHG11" s="301"/>
      <c r="AHH11" s="301"/>
      <c r="AHI11" s="301"/>
      <c r="AHJ11" s="301"/>
      <c r="AHK11" s="301"/>
      <c r="AHL11" s="301"/>
      <c r="AHM11" s="301"/>
      <c r="AHN11" s="301"/>
      <c r="AHO11" s="301"/>
      <c r="AHP11" s="301"/>
      <c r="AHQ11" s="301"/>
      <c r="AHR11" s="301"/>
      <c r="AHS11" s="301"/>
      <c r="AHT11" s="301"/>
      <c r="AHU11" s="301"/>
      <c r="AHV11" s="301"/>
      <c r="AHW11" s="301"/>
      <c r="AHX11" s="301"/>
      <c r="AHY11" s="301"/>
      <c r="AHZ11" s="301"/>
      <c r="AIA11" s="301"/>
      <c r="AIB11" s="301"/>
      <c r="AIC11" s="301"/>
      <c r="AID11" s="301"/>
      <c r="AIE11" s="301"/>
      <c r="AIF11" s="301"/>
      <c r="AIG11" s="301"/>
      <c r="AIH11" s="301"/>
      <c r="AII11" s="301"/>
      <c r="AIJ11" s="301"/>
      <c r="AIK11" s="301"/>
      <c r="AIL11" s="301"/>
      <c r="AIM11" s="301"/>
      <c r="AIN11" s="301"/>
      <c r="AIO11" s="301"/>
      <c r="AIP11" s="301"/>
      <c r="AIQ11" s="301"/>
      <c r="AIR11" s="301"/>
      <c r="AIS11" s="301"/>
      <c r="AIT11" s="301"/>
      <c r="AIU11" s="301"/>
      <c r="AIV11" s="301"/>
      <c r="AIW11" s="301"/>
      <c r="AIX11" s="301"/>
      <c r="AIY11" s="301"/>
      <c r="AIZ11" s="301"/>
      <c r="AJA11" s="301"/>
      <c r="AJB11" s="301"/>
      <c r="AJC11" s="301"/>
      <c r="AJD11" s="301"/>
      <c r="AJE11" s="301"/>
      <c r="AJF11" s="301"/>
      <c r="AJG11" s="301"/>
      <c r="AJH11" s="301"/>
      <c r="AJI11" s="301"/>
      <c r="AJJ11" s="301"/>
      <c r="AJK11" s="301"/>
      <c r="AJL11" s="301"/>
      <c r="AJM11" s="301"/>
      <c r="AJN11" s="301"/>
      <c r="AJO11" s="301"/>
      <c r="AJP11" s="301"/>
      <c r="AJQ11" s="301"/>
      <c r="AJR11" s="301"/>
      <c r="AJS11" s="301"/>
      <c r="AJT11" s="301"/>
      <c r="AJU11" s="301"/>
      <c r="AJV11" s="301"/>
      <c r="AJW11" s="301"/>
      <c r="AJX11" s="301"/>
      <c r="AJY11" s="301"/>
      <c r="AJZ11" s="301"/>
      <c r="AKA11" s="301"/>
      <c r="AKB11" s="301"/>
      <c r="AKC11" s="301"/>
      <c r="AKD11" s="301"/>
      <c r="AKE11" s="301"/>
      <c r="AKF11" s="301"/>
      <c r="AKG11" s="301"/>
      <c r="AKH11" s="301"/>
      <c r="AKI11" s="301"/>
      <c r="AKJ11" s="301"/>
      <c r="AKK11" s="301"/>
      <c r="AKL11" s="301"/>
      <c r="AKM11" s="301"/>
      <c r="AKN11" s="301"/>
      <c r="AKO11" s="301"/>
      <c r="AKP11" s="301"/>
      <c r="AKQ11" s="301"/>
      <c r="AKR11" s="301"/>
      <c r="AKS11" s="301"/>
      <c r="AKT11" s="301"/>
      <c r="AKU11" s="301"/>
      <c r="AKV11" s="301"/>
      <c r="AKW11" s="301"/>
      <c r="AKX11" s="301"/>
      <c r="AKY11" s="301"/>
      <c r="AKZ11" s="301"/>
      <c r="ALA11" s="301"/>
      <c r="ALB11" s="301"/>
      <c r="ALC11" s="301"/>
      <c r="ALD11" s="301"/>
      <c r="ALE11" s="301"/>
      <c r="ALF11" s="301"/>
      <c r="ALG11" s="301"/>
      <c r="ALH11" s="301"/>
      <c r="ALI11" s="301"/>
      <c r="ALJ11" s="301"/>
      <c r="ALK11" s="301"/>
      <c r="ALL11" s="301"/>
      <c r="ALM11" s="301"/>
      <c r="ALN11" s="301"/>
      <c r="ALO11" s="301"/>
      <c r="ALP11" s="301"/>
      <c r="ALQ11" s="301"/>
      <c r="ALR11" s="301"/>
      <c r="ALS11" s="301"/>
      <c r="ALT11" s="301"/>
      <c r="ALU11" s="301"/>
      <c r="ALV11" s="301"/>
      <c r="ALW11" s="301"/>
      <c r="ALX11" s="301"/>
      <c r="ALY11" s="301"/>
      <c r="ALZ11" s="301"/>
      <c r="AMA11" s="301"/>
      <c r="AMB11" s="301"/>
      <c r="AMC11" s="301"/>
      <c r="AMD11" s="301"/>
      <c r="AME11" s="301"/>
      <c r="AMF11" s="301"/>
      <c r="AMG11" s="301"/>
      <c r="AMH11" s="301"/>
      <c r="AMI11" s="301"/>
      <c r="AMJ11" s="301"/>
    </row>
    <row r="12" customFormat="false" ht="13.35" hidden="false" customHeight="false" outlineLevel="0" collapsed="false">
      <c r="A12" s="299" t="s">
        <v>198</v>
      </c>
      <c r="B12" s="310"/>
      <c r="C12" s="311" t="str">
        <f aca="false">IF(B12&gt;0,1,"")</f>
        <v/>
      </c>
      <c r="D12" s="310"/>
      <c r="E12" s="311" t="str">
        <f aca="false">IF(D12&gt;0,1,"")</f>
        <v/>
      </c>
      <c r="F12" s="312" t="n">
        <f aca="false">IF(M12="yes",Worksheet!D10,Worksheet!D13)</f>
        <v>15</v>
      </c>
      <c r="G12" s="311" t="n">
        <f aca="false">IF(F12&gt;0,1,"")</f>
        <v>1</v>
      </c>
      <c r="H12" s="310"/>
      <c r="I12" s="311" t="str">
        <f aca="false">IF(H12&gt;0,1,"")</f>
        <v/>
      </c>
      <c r="J12" s="313" t="n">
        <f aca="false">IF(SUM(C12,E12,G12,I12)&gt;1,"ERROR",IF(B12&gt;=1,B12*52,IF(D12&gt;=1,D12*26,IF(F12&gt;=1,F12*12,IF(H12&gt;=1,H12*4,"")))))</f>
        <v>180</v>
      </c>
      <c r="K12" s="301"/>
      <c r="L12" s="316" t="str">
        <f aca="false">"+/- Add/Sub Withdrawal. Starting "&amp; TEXT(Worksheet!K11, "mm/dd/yyyy")&amp;" Before Then(yes)After(No) K12"</f>
        <v>+/- Add/Sub Withdrawal. Starting 12/30/2030 Before Then(yes)After(No) K12</v>
      </c>
      <c r="M12" s="315" t="s">
        <v>159</v>
      </c>
      <c r="N12" s="301"/>
      <c r="O12" s="301"/>
      <c r="P12" s="301"/>
      <c r="Q12" s="301"/>
      <c r="R12" s="301"/>
      <c r="S12" s="301"/>
      <c r="T12" s="301"/>
      <c r="U12" s="301"/>
      <c r="V12" s="301"/>
      <c r="W12" s="301"/>
      <c r="X12" s="301"/>
      <c r="Y12" s="301"/>
      <c r="Z12" s="301"/>
      <c r="AA12" s="301"/>
      <c r="AB12" s="301"/>
      <c r="AC12" s="301"/>
      <c r="AD12" s="301"/>
      <c r="AE12" s="301"/>
      <c r="AF12" s="301"/>
      <c r="AG12" s="301"/>
      <c r="AH12" s="301"/>
      <c r="AI12" s="301"/>
      <c r="AJ12" s="301"/>
      <c r="AK12" s="301"/>
      <c r="AL12" s="301"/>
      <c r="AM12" s="301"/>
      <c r="AN12" s="301"/>
      <c r="AO12" s="301"/>
      <c r="AP12" s="301"/>
      <c r="AQ12" s="301"/>
      <c r="AR12" s="301"/>
      <c r="AS12" s="301"/>
      <c r="AT12" s="301"/>
      <c r="AU12" s="301"/>
      <c r="AV12" s="301"/>
      <c r="AW12" s="301"/>
      <c r="AX12" s="301"/>
      <c r="AY12" s="301"/>
      <c r="AZ12" s="301"/>
      <c r="BA12" s="301"/>
      <c r="BB12" s="301"/>
      <c r="BC12" s="301"/>
      <c r="BD12" s="301"/>
      <c r="BE12" s="301"/>
      <c r="BF12" s="301"/>
      <c r="BG12" s="301"/>
      <c r="BH12" s="301"/>
      <c r="BI12" s="301"/>
      <c r="BJ12" s="301"/>
      <c r="BK12" s="301"/>
      <c r="BL12" s="301"/>
      <c r="BM12" s="301"/>
      <c r="BN12" s="301"/>
      <c r="BO12" s="301"/>
      <c r="BP12" s="301"/>
      <c r="BQ12" s="301"/>
      <c r="BR12" s="301"/>
      <c r="BS12" s="301"/>
      <c r="BT12" s="301"/>
      <c r="BU12" s="301"/>
      <c r="BV12" s="301"/>
      <c r="BW12" s="301"/>
      <c r="BX12" s="301"/>
      <c r="BY12" s="301"/>
      <c r="BZ12" s="301"/>
      <c r="CA12" s="301"/>
      <c r="CB12" s="301"/>
      <c r="CC12" s="301"/>
      <c r="CD12" s="301"/>
      <c r="CE12" s="301"/>
      <c r="CF12" s="301"/>
      <c r="CG12" s="301"/>
      <c r="CH12" s="301"/>
      <c r="CI12" s="301"/>
      <c r="CJ12" s="301"/>
      <c r="CK12" s="301"/>
      <c r="CL12" s="301"/>
      <c r="CM12" s="301"/>
      <c r="CN12" s="301"/>
      <c r="CO12" s="301"/>
      <c r="CP12" s="301"/>
      <c r="CQ12" s="301"/>
      <c r="CR12" s="301"/>
      <c r="CS12" s="301"/>
      <c r="CT12" s="301"/>
      <c r="CU12" s="301"/>
      <c r="CV12" s="301"/>
      <c r="CW12" s="301"/>
      <c r="CX12" s="301"/>
      <c r="CY12" s="301"/>
      <c r="CZ12" s="301"/>
      <c r="DA12" s="301"/>
      <c r="DB12" s="301"/>
      <c r="DC12" s="301"/>
      <c r="DD12" s="301"/>
      <c r="DE12" s="301"/>
      <c r="DF12" s="301"/>
      <c r="DG12" s="301"/>
      <c r="DH12" s="301"/>
      <c r="DI12" s="301"/>
      <c r="DJ12" s="301"/>
      <c r="DK12" s="301"/>
      <c r="DL12" s="301"/>
      <c r="DM12" s="301"/>
      <c r="DN12" s="301"/>
      <c r="DO12" s="301"/>
      <c r="DP12" s="301"/>
      <c r="DQ12" s="301"/>
      <c r="DR12" s="301"/>
      <c r="DS12" s="301"/>
      <c r="DT12" s="301"/>
      <c r="DU12" s="301"/>
      <c r="DV12" s="301"/>
      <c r="DW12" s="301"/>
      <c r="DX12" s="301"/>
      <c r="DY12" s="301"/>
      <c r="DZ12" s="301"/>
      <c r="EA12" s="301"/>
      <c r="EB12" s="301"/>
      <c r="EC12" s="301"/>
      <c r="ED12" s="301"/>
      <c r="EE12" s="301"/>
      <c r="EF12" s="301"/>
      <c r="EG12" s="301"/>
      <c r="EH12" s="301"/>
      <c r="EI12" s="301"/>
      <c r="EJ12" s="301"/>
      <c r="EK12" s="301"/>
      <c r="EL12" s="301"/>
      <c r="EM12" s="301"/>
      <c r="EN12" s="301"/>
      <c r="EO12" s="301"/>
      <c r="EP12" s="301"/>
      <c r="EQ12" s="301"/>
      <c r="ER12" s="301"/>
      <c r="ES12" s="301"/>
      <c r="ET12" s="301"/>
      <c r="EU12" s="301"/>
      <c r="EV12" s="301"/>
      <c r="EW12" s="301"/>
      <c r="EX12" s="301"/>
      <c r="EY12" s="301"/>
      <c r="EZ12" s="301"/>
      <c r="FA12" s="301"/>
      <c r="FB12" s="301"/>
      <c r="FC12" s="301"/>
      <c r="FD12" s="301"/>
      <c r="FE12" s="301"/>
      <c r="FF12" s="301"/>
      <c r="FG12" s="301"/>
      <c r="FH12" s="301"/>
      <c r="FI12" s="301"/>
      <c r="FJ12" s="301"/>
      <c r="FK12" s="301"/>
      <c r="FL12" s="301"/>
      <c r="FM12" s="301"/>
      <c r="FN12" s="301"/>
      <c r="FO12" s="301"/>
      <c r="FP12" s="301"/>
      <c r="FQ12" s="301"/>
      <c r="FR12" s="301"/>
      <c r="FS12" s="301"/>
      <c r="FT12" s="301"/>
      <c r="FU12" s="301"/>
      <c r="FV12" s="301"/>
      <c r="FW12" s="301"/>
      <c r="FX12" s="301"/>
      <c r="FY12" s="301"/>
      <c r="FZ12" s="301"/>
      <c r="GA12" s="301"/>
      <c r="GB12" s="301"/>
      <c r="GC12" s="301"/>
      <c r="GD12" s="301"/>
      <c r="GE12" s="301"/>
      <c r="GF12" s="301"/>
      <c r="GG12" s="301"/>
      <c r="GH12" s="301"/>
      <c r="GI12" s="301"/>
      <c r="GJ12" s="301"/>
      <c r="GK12" s="301"/>
      <c r="GL12" s="301"/>
      <c r="GM12" s="301"/>
      <c r="GN12" s="301"/>
      <c r="GO12" s="301"/>
      <c r="GP12" s="301"/>
      <c r="GQ12" s="301"/>
      <c r="GR12" s="301"/>
      <c r="GS12" s="301"/>
      <c r="GT12" s="301"/>
      <c r="GU12" s="301"/>
      <c r="GV12" s="301"/>
      <c r="GW12" s="301"/>
      <c r="GX12" s="301"/>
      <c r="GY12" s="301"/>
      <c r="GZ12" s="301"/>
      <c r="HA12" s="301"/>
      <c r="HB12" s="301"/>
      <c r="HC12" s="301"/>
      <c r="HD12" s="301"/>
      <c r="HE12" s="301"/>
      <c r="HF12" s="301"/>
      <c r="HG12" s="301"/>
      <c r="HH12" s="301"/>
      <c r="HI12" s="301"/>
      <c r="HJ12" s="301"/>
      <c r="HK12" s="301"/>
      <c r="HL12" s="301"/>
      <c r="HM12" s="301"/>
      <c r="HN12" s="301"/>
      <c r="HO12" s="301"/>
      <c r="HP12" s="301"/>
      <c r="HQ12" s="301"/>
      <c r="HR12" s="301"/>
      <c r="HS12" s="301"/>
      <c r="HT12" s="301"/>
      <c r="HU12" s="301"/>
      <c r="HV12" s="301"/>
      <c r="HW12" s="301"/>
      <c r="HX12" s="301"/>
      <c r="HY12" s="301"/>
      <c r="HZ12" s="301"/>
      <c r="IA12" s="301"/>
      <c r="IB12" s="301"/>
      <c r="IC12" s="301"/>
      <c r="ID12" s="301"/>
      <c r="IE12" s="301"/>
      <c r="IF12" s="301"/>
      <c r="IG12" s="301"/>
      <c r="IH12" s="301"/>
      <c r="II12" s="301"/>
      <c r="IJ12" s="301"/>
      <c r="IK12" s="301"/>
      <c r="IL12" s="301"/>
      <c r="IM12" s="301"/>
      <c r="IN12" s="301"/>
      <c r="IO12" s="301"/>
      <c r="IP12" s="301"/>
      <c r="IQ12" s="301"/>
      <c r="IR12" s="301"/>
      <c r="IS12" s="301"/>
      <c r="IT12" s="301"/>
      <c r="IU12" s="301"/>
      <c r="IV12" s="301"/>
      <c r="IW12" s="301"/>
      <c r="IX12" s="301"/>
      <c r="IY12" s="301"/>
      <c r="IZ12" s="301"/>
      <c r="JA12" s="301"/>
      <c r="JB12" s="301"/>
      <c r="JC12" s="301"/>
      <c r="JD12" s="301"/>
      <c r="JE12" s="301"/>
      <c r="JF12" s="301"/>
      <c r="JG12" s="301"/>
      <c r="JH12" s="301"/>
      <c r="JI12" s="301"/>
      <c r="JJ12" s="301"/>
      <c r="JK12" s="301"/>
      <c r="JL12" s="301"/>
      <c r="JM12" s="301"/>
      <c r="JN12" s="301"/>
      <c r="JO12" s="301"/>
      <c r="JP12" s="301"/>
      <c r="JQ12" s="301"/>
      <c r="JR12" s="301"/>
      <c r="JS12" s="301"/>
      <c r="JT12" s="301"/>
      <c r="JU12" s="301"/>
      <c r="JV12" s="301"/>
      <c r="JW12" s="301"/>
      <c r="JX12" s="301"/>
      <c r="JY12" s="301"/>
      <c r="JZ12" s="301"/>
      <c r="KA12" s="301"/>
      <c r="KB12" s="301"/>
      <c r="KC12" s="301"/>
      <c r="KD12" s="301"/>
      <c r="KE12" s="301"/>
      <c r="KF12" s="301"/>
      <c r="KG12" s="301"/>
      <c r="KH12" s="301"/>
      <c r="KI12" s="301"/>
      <c r="KJ12" s="301"/>
      <c r="KK12" s="301"/>
      <c r="KL12" s="301"/>
      <c r="KM12" s="301"/>
      <c r="KN12" s="301"/>
      <c r="KO12" s="301"/>
      <c r="KP12" s="301"/>
      <c r="KQ12" s="301"/>
      <c r="KR12" s="301"/>
      <c r="KS12" s="301"/>
      <c r="KT12" s="301"/>
      <c r="KU12" s="301"/>
      <c r="KV12" s="301"/>
      <c r="KW12" s="301"/>
      <c r="KX12" s="301"/>
      <c r="KY12" s="301"/>
      <c r="KZ12" s="301"/>
      <c r="LA12" s="301"/>
      <c r="LB12" s="301"/>
      <c r="LC12" s="301"/>
      <c r="LD12" s="301"/>
      <c r="LE12" s="301"/>
      <c r="LF12" s="301"/>
      <c r="LG12" s="301"/>
      <c r="LH12" s="301"/>
      <c r="LI12" s="301"/>
      <c r="LJ12" s="301"/>
      <c r="LK12" s="301"/>
      <c r="LL12" s="301"/>
      <c r="LM12" s="301"/>
      <c r="LN12" s="301"/>
      <c r="LO12" s="301"/>
      <c r="LP12" s="301"/>
      <c r="LQ12" s="301"/>
      <c r="LR12" s="301"/>
      <c r="LS12" s="301"/>
      <c r="LT12" s="301"/>
      <c r="LU12" s="301"/>
      <c r="LV12" s="301"/>
      <c r="LW12" s="301"/>
      <c r="LX12" s="301"/>
      <c r="LY12" s="301"/>
      <c r="LZ12" s="301"/>
      <c r="MA12" s="301"/>
      <c r="MB12" s="301"/>
      <c r="MC12" s="301"/>
      <c r="MD12" s="301"/>
      <c r="ME12" s="301"/>
      <c r="MF12" s="301"/>
      <c r="MG12" s="301"/>
      <c r="MH12" s="301"/>
      <c r="MI12" s="301"/>
      <c r="MJ12" s="301"/>
      <c r="MK12" s="301"/>
      <c r="ML12" s="301"/>
      <c r="MM12" s="301"/>
      <c r="MN12" s="301"/>
      <c r="MO12" s="301"/>
      <c r="MP12" s="301"/>
      <c r="MQ12" s="301"/>
      <c r="MR12" s="301"/>
      <c r="MS12" s="301"/>
      <c r="MT12" s="301"/>
      <c r="MU12" s="301"/>
      <c r="MV12" s="301"/>
      <c r="MW12" s="301"/>
      <c r="MX12" s="301"/>
      <c r="MY12" s="301"/>
      <c r="MZ12" s="301"/>
      <c r="NA12" s="301"/>
      <c r="NB12" s="301"/>
      <c r="NC12" s="301"/>
      <c r="ND12" s="301"/>
      <c r="NE12" s="301"/>
      <c r="NF12" s="301"/>
      <c r="NG12" s="301"/>
      <c r="NH12" s="301"/>
      <c r="NI12" s="301"/>
      <c r="NJ12" s="301"/>
      <c r="NK12" s="301"/>
      <c r="NL12" s="301"/>
      <c r="NM12" s="301"/>
      <c r="NN12" s="301"/>
      <c r="NO12" s="301"/>
      <c r="NP12" s="301"/>
      <c r="NQ12" s="301"/>
      <c r="NR12" s="301"/>
      <c r="NS12" s="301"/>
      <c r="NT12" s="301"/>
      <c r="NU12" s="301"/>
      <c r="NV12" s="301"/>
      <c r="NW12" s="301"/>
      <c r="NX12" s="301"/>
      <c r="NY12" s="301"/>
      <c r="NZ12" s="301"/>
      <c r="OA12" s="301"/>
      <c r="OB12" s="301"/>
      <c r="OC12" s="301"/>
      <c r="OD12" s="301"/>
      <c r="OE12" s="301"/>
      <c r="OF12" s="301"/>
      <c r="OG12" s="301"/>
      <c r="OH12" s="301"/>
      <c r="OI12" s="301"/>
      <c r="OJ12" s="301"/>
      <c r="OK12" s="301"/>
      <c r="OL12" s="301"/>
      <c r="OM12" s="301"/>
      <c r="ON12" s="301"/>
      <c r="OO12" s="301"/>
      <c r="OP12" s="301"/>
      <c r="OQ12" s="301"/>
      <c r="OR12" s="301"/>
      <c r="OS12" s="301"/>
      <c r="OT12" s="301"/>
      <c r="OU12" s="301"/>
      <c r="OV12" s="301"/>
      <c r="OW12" s="301"/>
      <c r="OX12" s="301"/>
      <c r="OY12" s="301"/>
      <c r="OZ12" s="301"/>
      <c r="PA12" s="301"/>
      <c r="PB12" s="301"/>
      <c r="PC12" s="301"/>
      <c r="PD12" s="301"/>
      <c r="PE12" s="301"/>
      <c r="PF12" s="301"/>
      <c r="PG12" s="301"/>
      <c r="PH12" s="301"/>
      <c r="PI12" s="301"/>
      <c r="PJ12" s="301"/>
      <c r="PK12" s="301"/>
      <c r="PL12" s="301"/>
      <c r="PM12" s="301"/>
      <c r="PN12" s="301"/>
      <c r="PO12" s="301"/>
      <c r="PP12" s="301"/>
      <c r="PQ12" s="301"/>
      <c r="PR12" s="301"/>
      <c r="PS12" s="301"/>
      <c r="PT12" s="301"/>
      <c r="PU12" s="301"/>
      <c r="PV12" s="301"/>
      <c r="PW12" s="301"/>
      <c r="PX12" s="301"/>
      <c r="PY12" s="301"/>
      <c r="PZ12" s="301"/>
      <c r="QA12" s="301"/>
      <c r="QB12" s="301"/>
      <c r="QC12" s="301"/>
      <c r="QD12" s="301"/>
      <c r="QE12" s="301"/>
      <c r="QF12" s="301"/>
      <c r="QG12" s="301"/>
      <c r="QH12" s="301"/>
      <c r="QI12" s="301"/>
      <c r="QJ12" s="301"/>
      <c r="QK12" s="301"/>
      <c r="QL12" s="301"/>
      <c r="QM12" s="301"/>
      <c r="QN12" s="301"/>
      <c r="QO12" s="301"/>
      <c r="QP12" s="301"/>
      <c r="QQ12" s="301"/>
      <c r="QR12" s="301"/>
      <c r="QS12" s="301"/>
      <c r="QT12" s="301"/>
      <c r="QU12" s="301"/>
      <c r="QV12" s="301"/>
      <c r="QW12" s="301"/>
      <c r="QX12" s="301"/>
      <c r="QY12" s="301"/>
      <c r="QZ12" s="301"/>
      <c r="RA12" s="301"/>
      <c r="RB12" s="301"/>
      <c r="RC12" s="301"/>
      <c r="RD12" s="301"/>
      <c r="RE12" s="301"/>
      <c r="RF12" s="301"/>
      <c r="RG12" s="301"/>
      <c r="RH12" s="301"/>
      <c r="RI12" s="301"/>
      <c r="RJ12" s="301"/>
      <c r="RK12" s="301"/>
      <c r="RL12" s="301"/>
      <c r="RM12" s="301"/>
      <c r="RN12" s="301"/>
      <c r="RO12" s="301"/>
      <c r="RP12" s="301"/>
      <c r="RQ12" s="301"/>
      <c r="RR12" s="301"/>
      <c r="RS12" s="301"/>
      <c r="RT12" s="301"/>
      <c r="RU12" s="301"/>
      <c r="RV12" s="301"/>
      <c r="RW12" s="301"/>
      <c r="RX12" s="301"/>
      <c r="RY12" s="301"/>
      <c r="RZ12" s="301"/>
      <c r="SA12" s="301"/>
      <c r="SB12" s="301"/>
      <c r="SC12" s="301"/>
      <c r="SD12" s="301"/>
      <c r="SE12" s="301"/>
      <c r="SF12" s="301"/>
      <c r="SG12" s="301"/>
      <c r="SH12" s="301"/>
      <c r="SI12" s="301"/>
      <c r="SJ12" s="301"/>
      <c r="SK12" s="301"/>
      <c r="SL12" s="301"/>
      <c r="SM12" s="301"/>
      <c r="SN12" s="301"/>
      <c r="SO12" s="301"/>
      <c r="SP12" s="301"/>
      <c r="SQ12" s="301"/>
      <c r="SR12" s="301"/>
      <c r="SS12" s="301"/>
      <c r="ST12" s="301"/>
      <c r="SU12" s="301"/>
      <c r="SV12" s="301"/>
      <c r="SW12" s="301"/>
      <c r="SX12" s="301"/>
      <c r="SY12" s="301"/>
      <c r="SZ12" s="301"/>
      <c r="TA12" s="301"/>
      <c r="TB12" s="301"/>
      <c r="TC12" s="301"/>
      <c r="TD12" s="301"/>
      <c r="TE12" s="301"/>
      <c r="TF12" s="301"/>
      <c r="TG12" s="301"/>
      <c r="TH12" s="301"/>
      <c r="TI12" s="301"/>
      <c r="TJ12" s="301"/>
      <c r="TK12" s="301"/>
      <c r="TL12" s="301"/>
      <c r="TM12" s="301"/>
      <c r="TN12" s="301"/>
      <c r="TO12" s="301"/>
      <c r="TP12" s="301"/>
      <c r="TQ12" s="301"/>
      <c r="TR12" s="301"/>
      <c r="TS12" s="301"/>
      <c r="TT12" s="301"/>
      <c r="TU12" s="301"/>
      <c r="TV12" s="301"/>
      <c r="TW12" s="301"/>
      <c r="TX12" s="301"/>
      <c r="TY12" s="301"/>
      <c r="TZ12" s="301"/>
      <c r="UA12" s="301"/>
      <c r="UB12" s="301"/>
      <c r="UC12" s="301"/>
      <c r="UD12" s="301"/>
      <c r="UE12" s="301"/>
      <c r="UF12" s="301"/>
      <c r="UG12" s="301"/>
      <c r="UH12" s="301"/>
      <c r="UI12" s="301"/>
      <c r="UJ12" s="301"/>
      <c r="UK12" s="301"/>
      <c r="UL12" s="301"/>
      <c r="UM12" s="301"/>
      <c r="UN12" s="301"/>
      <c r="UO12" s="301"/>
      <c r="UP12" s="301"/>
      <c r="UQ12" s="301"/>
      <c r="UR12" s="301"/>
      <c r="US12" s="301"/>
      <c r="UT12" s="301"/>
      <c r="UU12" s="301"/>
      <c r="UV12" s="301"/>
      <c r="UW12" s="301"/>
      <c r="UX12" s="301"/>
      <c r="UY12" s="301"/>
      <c r="UZ12" s="301"/>
      <c r="VA12" s="301"/>
      <c r="VB12" s="301"/>
      <c r="VC12" s="301"/>
      <c r="VD12" s="301"/>
      <c r="VE12" s="301"/>
      <c r="VF12" s="301"/>
      <c r="VG12" s="301"/>
      <c r="VH12" s="301"/>
      <c r="VI12" s="301"/>
      <c r="VJ12" s="301"/>
      <c r="VK12" s="301"/>
      <c r="VL12" s="301"/>
      <c r="VM12" s="301"/>
      <c r="VN12" s="301"/>
      <c r="VO12" s="301"/>
      <c r="VP12" s="301"/>
      <c r="VQ12" s="301"/>
      <c r="VR12" s="301"/>
      <c r="VS12" s="301"/>
      <c r="VT12" s="301"/>
      <c r="VU12" s="301"/>
      <c r="VV12" s="301"/>
      <c r="VW12" s="301"/>
      <c r="VX12" s="301"/>
      <c r="VY12" s="301"/>
      <c r="VZ12" s="301"/>
      <c r="WA12" s="301"/>
      <c r="WB12" s="301"/>
      <c r="WC12" s="301"/>
      <c r="WD12" s="301"/>
      <c r="WE12" s="301"/>
      <c r="WF12" s="301"/>
      <c r="WG12" s="301"/>
      <c r="WH12" s="301"/>
      <c r="WI12" s="301"/>
      <c r="WJ12" s="301"/>
      <c r="WK12" s="301"/>
      <c r="WL12" s="301"/>
      <c r="WM12" s="301"/>
      <c r="WN12" s="301"/>
      <c r="WO12" s="301"/>
      <c r="WP12" s="301"/>
      <c r="WQ12" s="301"/>
      <c r="WR12" s="301"/>
      <c r="WS12" s="301"/>
      <c r="WT12" s="301"/>
      <c r="WU12" s="301"/>
      <c r="WV12" s="301"/>
      <c r="WW12" s="301"/>
      <c r="WX12" s="301"/>
      <c r="WY12" s="301"/>
      <c r="WZ12" s="301"/>
      <c r="XA12" s="301"/>
      <c r="XB12" s="301"/>
      <c r="XC12" s="301"/>
      <c r="XD12" s="301"/>
      <c r="XE12" s="301"/>
      <c r="XF12" s="301"/>
      <c r="XG12" s="301"/>
      <c r="XH12" s="301"/>
      <c r="XI12" s="301"/>
      <c r="XJ12" s="301"/>
      <c r="XK12" s="301"/>
      <c r="XL12" s="301"/>
      <c r="XM12" s="301"/>
      <c r="XN12" s="301"/>
      <c r="XO12" s="301"/>
      <c r="XP12" s="301"/>
      <c r="XQ12" s="301"/>
      <c r="XR12" s="301"/>
      <c r="XS12" s="301"/>
      <c r="XT12" s="301"/>
      <c r="XU12" s="301"/>
      <c r="XV12" s="301"/>
      <c r="XW12" s="301"/>
      <c r="XX12" s="301"/>
      <c r="XY12" s="301"/>
      <c r="XZ12" s="301"/>
      <c r="YA12" s="301"/>
      <c r="YB12" s="301"/>
      <c r="YC12" s="301"/>
      <c r="YD12" s="301"/>
      <c r="YE12" s="301"/>
      <c r="YF12" s="301"/>
      <c r="YG12" s="301"/>
      <c r="YH12" s="301"/>
      <c r="YI12" s="301"/>
      <c r="YJ12" s="301"/>
      <c r="YK12" s="301"/>
      <c r="YL12" s="301"/>
      <c r="YM12" s="301"/>
      <c r="YN12" s="301"/>
      <c r="YO12" s="301"/>
      <c r="YP12" s="301"/>
      <c r="YQ12" s="301"/>
      <c r="YR12" s="301"/>
      <c r="YS12" s="301"/>
      <c r="YT12" s="301"/>
      <c r="YU12" s="301"/>
      <c r="YV12" s="301"/>
      <c r="YW12" s="301"/>
      <c r="YX12" s="301"/>
      <c r="YY12" s="301"/>
      <c r="YZ12" s="301"/>
      <c r="ZA12" s="301"/>
      <c r="ZB12" s="301"/>
      <c r="ZC12" s="301"/>
      <c r="ZD12" s="301"/>
      <c r="ZE12" s="301"/>
      <c r="ZF12" s="301"/>
      <c r="ZG12" s="301"/>
      <c r="ZH12" s="301"/>
      <c r="ZI12" s="301"/>
      <c r="ZJ12" s="301"/>
      <c r="ZK12" s="301"/>
      <c r="ZL12" s="301"/>
      <c r="ZM12" s="301"/>
      <c r="ZN12" s="301"/>
      <c r="ZO12" s="301"/>
      <c r="ZP12" s="301"/>
      <c r="ZQ12" s="301"/>
      <c r="ZR12" s="301"/>
      <c r="ZS12" s="301"/>
      <c r="ZT12" s="301"/>
      <c r="ZU12" s="301"/>
      <c r="ZV12" s="301"/>
      <c r="ZW12" s="301"/>
      <c r="ZX12" s="301"/>
      <c r="ZY12" s="301"/>
      <c r="ZZ12" s="301"/>
      <c r="AAA12" s="301"/>
      <c r="AAB12" s="301"/>
      <c r="AAC12" s="301"/>
      <c r="AAD12" s="301"/>
      <c r="AAE12" s="301"/>
      <c r="AAF12" s="301"/>
      <c r="AAG12" s="301"/>
      <c r="AAH12" s="301"/>
      <c r="AAI12" s="301"/>
      <c r="AAJ12" s="301"/>
      <c r="AAK12" s="301"/>
      <c r="AAL12" s="301"/>
      <c r="AAM12" s="301"/>
      <c r="AAN12" s="301"/>
      <c r="AAO12" s="301"/>
      <c r="AAP12" s="301"/>
      <c r="AAQ12" s="301"/>
      <c r="AAR12" s="301"/>
      <c r="AAS12" s="301"/>
      <c r="AAT12" s="301"/>
      <c r="AAU12" s="301"/>
      <c r="AAV12" s="301"/>
      <c r="AAW12" s="301"/>
      <c r="AAX12" s="301"/>
      <c r="AAY12" s="301"/>
      <c r="AAZ12" s="301"/>
      <c r="ABA12" s="301"/>
      <c r="ABB12" s="301"/>
      <c r="ABC12" s="301"/>
      <c r="ABD12" s="301"/>
      <c r="ABE12" s="301"/>
      <c r="ABF12" s="301"/>
      <c r="ABG12" s="301"/>
      <c r="ABH12" s="301"/>
      <c r="ABI12" s="301"/>
      <c r="ABJ12" s="301"/>
      <c r="ABK12" s="301"/>
      <c r="ABL12" s="301"/>
      <c r="ABM12" s="301"/>
      <c r="ABN12" s="301"/>
      <c r="ABO12" s="301"/>
      <c r="ABP12" s="301"/>
      <c r="ABQ12" s="301"/>
      <c r="ABR12" s="301"/>
      <c r="ABS12" s="301"/>
      <c r="ABT12" s="301"/>
      <c r="ABU12" s="301"/>
      <c r="ABV12" s="301"/>
      <c r="ABW12" s="301"/>
      <c r="ABX12" s="301"/>
      <c r="ABY12" s="301"/>
      <c r="ABZ12" s="301"/>
      <c r="ACA12" s="301"/>
      <c r="ACB12" s="301"/>
      <c r="ACC12" s="301"/>
      <c r="ACD12" s="301"/>
      <c r="ACE12" s="301"/>
      <c r="ACF12" s="301"/>
      <c r="ACG12" s="301"/>
      <c r="ACH12" s="301"/>
      <c r="ACI12" s="301"/>
      <c r="ACJ12" s="301"/>
      <c r="ACK12" s="301"/>
      <c r="ACL12" s="301"/>
      <c r="ACM12" s="301"/>
      <c r="ACN12" s="301"/>
      <c r="ACO12" s="301"/>
      <c r="ACP12" s="301"/>
      <c r="ACQ12" s="301"/>
      <c r="ACR12" s="301"/>
      <c r="ACS12" s="301"/>
      <c r="ACT12" s="301"/>
      <c r="ACU12" s="301"/>
      <c r="ACV12" s="301"/>
      <c r="ACW12" s="301"/>
      <c r="ACX12" s="301"/>
      <c r="ACY12" s="301"/>
      <c r="ACZ12" s="301"/>
      <c r="ADA12" s="301"/>
      <c r="ADB12" s="301"/>
      <c r="ADC12" s="301"/>
      <c r="ADD12" s="301"/>
      <c r="ADE12" s="301"/>
      <c r="ADF12" s="301"/>
      <c r="ADG12" s="301"/>
      <c r="ADH12" s="301"/>
      <c r="ADI12" s="301"/>
      <c r="ADJ12" s="301"/>
      <c r="ADK12" s="301"/>
      <c r="ADL12" s="301"/>
      <c r="ADM12" s="301"/>
      <c r="ADN12" s="301"/>
      <c r="ADO12" s="301"/>
      <c r="ADP12" s="301"/>
      <c r="ADQ12" s="301"/>
      <c r="ADR12" s="301"/>
      <c r="ADS12" s="301"/>
      <c r="ADT12" s="301"/>
      <c r="ADU12" s="301"/>
      <c r="ADV12" s="301"/>
      <c r="ADW12" s="301"/>
      <c r="ADX12" s="301"/>
      <c r="ADY12" s="301"/>
      <c r="ADZ12" s="301"/>
      <c r="AEA12" s="301"/>
      <c r="AEB12" s="301"/>
      <c r="AEC12" s="301"/>
      <c r="AED12" s="301"/>
      <c r="AEE12" s="301"/>
      <c r="AEF12" s="301"/>
      <c r="AEG12" s="301"/>
      <c r="AEH12" s="301"/>
      <c r="AEI12" s="301"/>
      <c r="AEJ12" s="301"/>
      <c r="AEK12" s="301"/>
      <c r="AEL12" s="301"/>
      <c r="AEM12" s="301"/>
      <c r="AEN12" s="301"/>
      <c r="AEO12" s="301"/>
      <c r="AEP12" s="301"/>
      <c r="AEQ12" s="301"/>
      <c r="AER12" s="301"/>
      <c r="AES12" s="301"/>
      <c r="AET12" s="301"/>
      <c r="AEU12" s="301"/>
      <c r="AEV12" s="301"/>
      <c r="AEW12" s="301"/>
      <c r="AEX12" s="301"/>
      <c r="AEY12" s="301"/>
      <c r="AEZ12" s="301"/>
      <c r="AFA12" s="301"/>
      <c r="AFB12" s="301"/>
      <c r="AFC12" s="301"/>
      <c r="AFD12" s="301"/>
      <c r="AFE12" s="301"/>
      <c r="AFF12" s="301"/>
      <c r="AFG12" s="301"/>
      <c r="AFH12" s="301"/>
      <c r="AFI12" s="301"/>
      <c r="AFJ12" s="301"/>
      <c r="AFK12" s="301"/>
      <c r="AFL12" s="301"/>
      <c r="AFM12" s="301"/>
      <c r="AFN12" s="301"/>
      <c r="AFO12" s="301"/>
      <c r="AFP12" s="301"/>
      <c r="AFQ12" s="301"/>
      <c r="AFR12" s="301"/>
      <c r="AFS12" s="301"/>
      <c r="AFT12" s="301"/>
      <c r="AFU12" s="301"/>
      <c r="AFV12" s="301"/>
      <c r="AFW12" s="301"/>
      <c r="AFX12" s="301"/>
      <c r="AFY12" s="301"/>
      <c r="AFZ12" s="301"/>
      <c r="AGA12" s="301"/>
      <c r="AGB12" s="301"/>
      <c r="AGC12" s="301"/>
      <c r="AGD12" s="301"/>
      <c r="AGE12" s="301"/>
      <c r="AGF12" s="301"/>
      <c r="AGG12" s="301"/>
      <c r="AGH12" s="301"/>
      <c r="AGI12" s="301"/>
      <c r="AGJ12" s="301"/>
      <c r="AGK12" s="301"/>
      <c r="AGL12" s="301"/>
      <c r="AGM12" s="301"/>
      <c r="AGN12" s="301"/>
      <c r="AGO12" s="301"/>
      <c r="AGP12" s="301"/>
      <c r="AGQ12" s="301"/>
      <c r="AGR12" s="301"/>
      <c r="AGS12" s="301"/>
      <c r="AGT12" s="301"/>
      <c r="AGU12" s="301"/>
      <c r="AGV12" s="301"/>
      <c r="AGW12" s="301"/>
      <c r="AGX12" s="301"/>
      <c r="AGY12" s="301"/>
      <c r="AGZ12" s="301"/>
      <c r="AHA12" s="301"/>
      <c r="AHB12" s="301"/>
      <c r="AHC12" s="301"/>
      <c r="AHD12" s="301"/>
      <c r="AHE12" s="301"/>
      <c r="AHF12" s="301"/>
      <c r="AHG12" s="301"/>
      <c r="AHH12" s="301"/>
      <c r="AHI12" s="301"/>
      <c r="AHJ12" s="301"/>
      <c r="AHK12" s="301"/>
      <c r="AHL12" s="301"/>
      <c r="AHM12" s="301"/>
      <c r="AHN12" s="301"/>
      <c r="AHO12" s="301"/>
      <c r="AHP12" s="301"/>
      <c r="AHQ12" s="301"/>
      <c r="AHR12" s="301"/>
      <c r="AHS12" s="301"/>
      <c r="AHT12" s="301"/>
      <c r="AHU12" s="301"/>
      <c r="AHV12" s="301"/>
      <c r="AHW12" s="301"/>
      <c r="AHX12" s="301"/>
      <c r="AHY12" s="301"/>
      <c r="AHZ12" s="301"/>
      <c r="AIA12" s="301"/>
      <c r="AIB12" s="301"/>
      <c r="AIC12" s="301"/>
      <c r="AID12" s="301"/>
      <c r="AIE12" s="301"/>
      <c r="AIF12" s="301"/>
      <c r="AIG12" s="301"/>
      <c r="AIH12" s="301"/>
      <c r="AII12" s="301"/>
      <c r="AIJ12" s="301"/>
      <c r="AIK12" s="301"/>
      <c r="AIL12" s="301"/>
      <c r="AIM12" s="301"/>
      <c r="AIN12" s="301"/>
      <c r="AIO12" s="301"/>
      <c r="AIP12" s="301"/>
      <c r="AIQ12" s="301"/>
      <c r="AIR12" s="301"/>
      <c r="AIS12" s="301"/>
      <c r="AIT12" s="301"/>
      <c r="AIU12" s="301"/>
      <c r="AIV12" s="301"/>
      <c r="AIW12" s="301"/>
      <c r="AIX12" s="301"/>
      <c r="AIY12" s="301"/>
      <c r="AIZ12" s="301"/>
      <c r="AJA12" s="301"/>
      <c r="AJB12" s="301"/>
      <c r="AJC12" s="301"/>
      <c r="AJD12" s="301"/>
      <c r="AJE12" s="301"/>
      <c r="AJF12" s="301"/>
      <c r="AJG12" s="301"/>
      <c r="AJH12" s="301"/>
      <c r="AJI12" s="301"/>
      <c r="AJJ12" s="301"/>
      <c r="AJK12" s="301"/>
      <c r="AJL12" s="301"/>
      <c r="AJM12" s="301"/>
      <c r="AJN12" s="301"/>
      <c r="AJO12" s="301"/>
      <c r="AJP12" s="301"/>
      <c r="AJQ12" s="301"/>
      <c r="AJR12" s="301"/>
      <c r="AJS12" s="301"/>
      <c r="AJT12" s="301"/>
      <c r="AJU12" s="301"/>
      <c r="AJV12" s="301"/>
      <c r="AJW12" s="301"/>
      <c r="AJX12" s="301"/>
      <c r="AJY12" s="301"/>
      <c r="AJZ12" s="301"/>
      <c r="AKA12" s="301"/>
      <c r="AKB12" s="301"/>
      <c r="AKC12" s="301"/>
      <c r="AKD12" s="301"/>
      <c r="AKE12" s="301"/>
      <c r="AKF12" s="301"/>
      <c r="AKG12" s="301"/>
      <c r="AKH12" s="301"/>
      <c r="AKI12" s="301"/>
      <c r="AKJ12" s="301"/>
      <c r="AKK12" s="301"/>
      <c r="AKL12" s="301"/>
      <c r="AKM12" s="301"/>
      <c r="AKN12" s="301"/>
      <c r="AKO12" s="301"/>
      <c r="AKP12" s="301"/>
      <c r="AKQ12" s="301"/>
      <c r="AKR12" s="301"/>
      <c r="AKS12" s="301"/>
      <c r="AKT12" s="301"/>
      <c r="AKU12" s="301"/>
      <c r="AKV12" s="301"/>
      <c r="AKW12" s="301"/>
      <c r="AKX12" s="301"/>
      <c r="AKY12" s="301"/>
      <c r="AKZ12" s="301"/>
      <c r="ALA12" s="301"/>
      <c r="ALB12" s="301"/>
      <c r="ALC12" s="301"/>
      <c r="ALD12" s="301"/>
      <c r="ALE12" s="301"/>
      <c r="ALF12" s="301"/>
      <c r="ALG12" s="301"/>
      <c r="ALH12" s="301"/>
      <c r="ALI12" s="301"/>
      <c r="ALJ12" s="301"/>
      <c r="ALK12" s="301"/>
      <c r="ALL12" s="301"/>
      <c r="ALM12" s="301"/>
      <c r="ALN12" s="301"/>
      <c r="ALO12" s="301"/>
      <c r="ALP12" s="301"/>
      <c r="ALQ12" s="301"/>
      <c r="ALR12" s="301"/>
      <c r="ALS12" s="301"/>
      <c r="ALT12" s="301"/>
      <c r="ALU12" s="301"/>
      <c r="ALV12" s="301"/>
      <c r="ALW12" s="301"/>
      <c r="ALX12" s="301"/>
      <c r="ALY12" s="301"/>
      <c r="ALZ12" s="301"/>
      <c r="AMA12" s="301"/>
      <c r="AMB12" s="301"/>
      <c r="AMC12" s="301"/>
      <c r="AMD12" s="301"/>
      <c r="AME12" s="301"/>
      <c r="AMF12" s="301"/>
      <c r="AMG12" s="301"/>
      <c r="AMH12" s="301"/>
      <c r="AMI12" s="301"/>
      <c r="AMJ12" s="301"/>
    </row>
    <row r="13" customFormat="false" ht="12.8" hidden="false" customHeight="false" outlineLevel="0" collapsed="false">
      <c r="A13" s="317" t="s">
        <v>199</v>
      </c>
      <c r="B13" s="310"/>
      <c r="C13" s="311" t="str">
        <f aca="false">IF(B13&gt;0,1,"")</f>
        <v/>
      </c>
      <c r="D13" s="310"/>
      <c r="E13" s="311" t="str">
        <f aca="false">IF(D13&gt;0,1,"")</f>
        <v/>
      </c>
      <c r="F13" s="312" t="n">
        <f aca="false">SUM((Worksheet!N39+Worksheet!N41)*SUM(1-(Worksheet!D14+Worksheet!D15)))/12</f>
        <v>0</v>
      </c>
      <c r="G13" s="311" t="str">
        <f aca="false">IF(F13&gt;0,1,"")</f>
        <v/>
      </c>
      <c r="H13" s="310"/>
      <c r="I13" s="311" t="str">
        <f aca="false">IF(H13&gt;0,1,"")</f>
        <v/>
      </c>
      <c r="J13" s="313" t="str">
        <f aca="false">IF(SUM(C13,E13,G13,I13)&gt;1,"ERROR",IF(B13&gt;=1,B13*52,IF(D13&gt;=1,D13*26,IF(F13&gt;=1,F13*12,IF(H13&gt;=1,H13*4,"")))))</f>
        <v/>
      </c>
      <c r="K13" s="301"/>
      <c r="L13" s="316"/>
      <c r="M13" s="315"/>
      <c r="N13" s="301"/>
      <c r="O13" s="301"/>
      <c r="P13" s="301"/>
      <c r="Q13" s="301"/>
      <c r="R13" s="301"/>
      <c r="S13" s="301"/>
      <c r="T13" s="301"/>
      <c r="U13" s="301"/>
      <c r="V13" s="301"/>
      <c r="W13" s="301"/>
      <c r="X13" s="301"/>
      <c r="Y13" s="301"/>
      <c r="Z13" s="301"/>
      <c r="AA13" s="301"/>
      <c r="AB13" s="301"/>
      <c r="AC13" s="301"/>
      <c r="AD13" s="301"/>
      <c r="AE13" s="301"/>
      <c r="AF13" s="301"/>
      <c r="AG13" s="301"/>
      <c r="AH13" s="301"/>
      <c r="AI13" s="301"/>
      <c r="AJ13" s="301"/>
      <c r="AK13" s="301"/>
      <c r="AL13" s="301"/>
      <c r="AM13" s="301"/>
      <c r="AN13" s="301"/>
      <c r="AO13" s="301"/>
      <c r="AP13" s="301"/>
      <c r="AQ13" s="301"/>
      <c r="AR13" s="301"/>
      <c r="AS13" s="301"/>
      <c r="AT13" s="301"/>
      <c r="AU13" s="301"/>
      <c r="AV13" s="301"/>
      <c r="AW13" s="301"/>
      <c r="AX13" s="301"/>
      <c r="AY13" s="301"/>
      <c r="AZ13" s="301"/>
      <c r="BA13" s="301"/>
      <c r="BB13" s="301"/>
      <c r="BC13" s="301"/>
      <c r="BD13" s="301"/>
      <c r="BE13" s="301"/>
      <c r="BF13" s="301"/>
      <c r="BG13" s="301"/>
      <c r="BH13" s="301"/>
      <c r="BI13" s="301"/>
      <c r="BJ13" s="301"/>
      <c r="BK13" s="301"/>
      <c r="BL13" s="301"/>
      <c r="BM13" s="301"/>
      <c r="BN13" s="301"/>
      <c r="BO13" s="301"/>
      <c r="BP13" s="301"/>
      <c r="BQ13" s="301"/>
      <c r="BR13" s="301"/>
      <c r="BS13" s="301"/>
      <c r="BT13" s="301"/>
      <c r="BU13" s="301"/>
      <c r="BV13" s="301"/>
      <c r="BW13" s="301"/>
      <c r="BX13" s="301"/>
      <c r="BY13" s="301"/>
      <c r="BZ13" s="301"/>
      <c r="CA13" s="301"/>
      <c r="CB13" s="301"/>
      <c r="CC13" s="301"/>
      <c r="CD13" s="301"/>
      <c r="CE13" s="301"/>
      <c r="CF13" s="301"/>
      <c r="CG13" s="301"/>
      <c r="CH13" s="301"/>
      <c r="CI13" s="301"/>
      <c r="CJ13" s="301"/>
      <c r="CK13" s="301"/>
      <c r="CL13" s="301"/>
      <c r="CM13" s="301"/>
      <c r="CN13" s="301"/>
      <c r="CO13" s="301"/>
      <c r="CP13" s="301"/>
      <c r="CQ13" s="301"/>
      <c r="CR13" s="301"/>
      <c r="CS13" s="301"/>
      <c r="CT13" s="301"/>
      <c r="CU13" s="301"/>
      <c r="CV13" s="301"/>
      <c r="CW13" s="301"/>
      <c r="CX13" s="301"/>
      <c r="CY13" s="301"/>
      <c r="CZ13" s="301"/>
      <c r="DA13" s="301"/>
      <c r="DB13" s="301"/>
      <c r="DC13" s="301"/>
      <c r="DD13" s="301"/>
      <c r="DE13" s="301"/>
      <c r="DF13" s="301"/>
      <c r="DG13" s="301"/>
      <c r="DH13" s="301"/>
      <c r="DI13" s="301"/>
      <c r="DJ13" s="301"/>
      <c r="DK13" s="301"/>
      <c r="DL13" s="301"/>
      <c r="DM13" s="301"/>
      <c r="DN13" s="301"/>
      <c r="DO13" s="301"/>
      <c r="DP13" s="301"/>
      <c r="DQ13" s="301"/>
      <c r="DR13" s="301"/>
      <c r="DS13" s="301"/>
      <c r="DT13" s="301"/>
      <c r="DU13" s="301"/>
      <c r="DV13" s="301"/>
      <c r="DW13" s="301"/>
      <c r="DX13" s="301"/>
      <c r="DY13" s="301"/>
      <c r="DZ13" s="301"/>
      <c r="EA13" s="301"/>
      <c r="EB13" s="301"/>
      <c r="EC13" s="301"/>
      <c r="ED13" s="301"/>
      <c r="EE13" s="301"/>
      <c r="EF13" s="301"/>
      <c r="EG13" s="301"/>
      <c r="EH13" s="301"/>
      <c r="EI13" s="301"/>
      <c r="EJ13" s="301"/>
      <c r="EK13" s="301"/>
      <c r="EL13" s="301"/>
      <c r="EM13" s="301"/>
      <c r="EN13" s="301"/>
      <c r="EO13" s="301"/>
      <c r="EP13" s="301"/>
      <c r="EQ13" s="301"/>
      <c r="ER13" s="301"/>
      <c r="ES13" s="301"/>
      <c r="ET13" s="301"/>
      <c r="EU13" s="301"/>
      <c r="EV13" s="301"/>
      <c r="EW13" s="301"/>
      <c r="EX13" s="301"/>
      <c r="EY13" s="301"/>
      <c r="EZ13" s="301"/>
      <c r="FA13" s="301"/>
      <c r="FB13" s="301"/>
      <c r="FC13" s="301"/>
      <c r="FD13" s="301"/>
      <c r="FE13" s="301"/>
      <c r="FF13" s="301"/>
      <c r="FG13" s="301"/>
      <c r="FH13" s="301"/>
      <c r="FI13" s="301"/>
      <c r="FJ13" s="301"/>
      <c r="FK13" s="301"/>
      <c r="FL13" s="301"/>
      <c r="FM13" s="301"/>
      <c r="FN13" s="301"/>
      <c r="FO13" s="301"/>
      <c r="FP13" s="301"/>
      <c r="FQ13" s="301"/>
      <c r="FR13" s="301"/>
      <c r="FS13" s="301"/>
      <c r="FT13" s="301"/>
      <c r="FU13" s="301"/>
      <c r="FV13" s="301"/>
      <c r="FW13" s="301"/>
      <c r="FX13" s="301"/>
      <c r="FY13" s="301"/>
      <c r="FZ13" s="301"/>
      <c r="GA13" s="301"/>
      <c r="GB13" s="301"/>
      <c r="GC13" s="301"/>
      <c r="GD13" s="301"/>
      <c r="GE13" s="301"/>
      <c r="GF13" s="301"/>
      <c r="GG13" s="301"/>
      <c r="GH13" s="301"/>
      <c r="GI13" s="301"/>
      <c r="GJ13" s="301"/>
      <c r="GK13" s="301"/>
      <c r="GL13" s="301"/>
      <c r="GM13" s="301"/>
      <c r="GN13" s="301"/>
      <c r="GO13" s="301"/>
      <c r="GP13" s="301"/>
      <c r="GQ13" s="301"/>
      <c r="GR13" s="301"/>
      <c r="GS13" s="301"/>
      <c r="GT13" s="301"/>
      <c r="GU13" s="301"/>
      <c r="GV13" s="301"/>
      <c r="GW13" s="301"/>
      <c r="GX13" s="301"/>
      <c r="GY13" s="301"/>
      <c r="GZ13" s="301"/>
      <c r="HA13" s="301"/>
      <c r="HB13" s="301"/>
      <c r="HC13" s="301"/>
      <c r="HD13" s="301"/>
      <c r="HE13" s="301"/>
      <c r="HF13" s="301"/>
      <c r="HG13" s="301"/>
      <c r="HH13" s="301"/>
      <c r="HI13" s="301"/>
      <c r="HJ13" s="301"/>
      <c r="HK13" s="301"/>
      <c r="HL13" s="301"/>
      <c r="HM13" s="301"/>
      <c r="HN13" s="301"/>
      <c r="HO13" s="301"/>
      <c r="HP13" s="301"/>
      <c r="HQ13" s="301"/>
      <c r="HR13" s="301"/>
      <c r="HS13" s="301"/>
      <c r="HT13" s="301"/>
      <c r="HU13" s="301"/>
      <c r="HV13" s="301"/>
      <c r="HW13" s="301"/>
      <c r="HX13" s="301"/>
      <c r="HY13" s="301"/>
      <c r="HZ13" s="301"/>
      <c r="IA13" s="301"/>
      <c r="IB13" s="301"/>
      <c r="IC13" s="301"/>
      <c r="ID13" s="301"/>
      <c r="IE13" s="301"/>
      <c r="IF13" s="301"/>
      <c r="IG13" s="301"/>
      <c r="IH13" s="301"/>
      <c r="II13" s="301"/>
      <c r="IJ13" s="301"/>
      <c r="IK13" s="301"/>
      <c r="IL13" s="301"/>
      <c r="IM13" s="301"/>
      <c r="IN13" s="301"/>
      <c r="IO13" s="301"/>
      <c r="IP13" s="301"/>
      <c r="IQ13" s="301"/>
      <c r="IR13" s="301"/>
      <c r="IS13" s="301"/>
      <c r="IT13" s="301"/>
      <c r="IU13" s="301"/>
      <c r="IV13" s="301"/>
      <c r="IW13" s="301"/>
      <c r="IX13" s="301"/>
      <c r="IY13" s="301"/>
      <c r="IZ13" s="301"/>
      <c r="JA13" s="301"/>
      <c r="JB13" s="301"/>
      <c r="JC13" s="301"/>
      <c r="JD13" s="301"/>
      <c r="JE13" s="301"/>
      <c r="JF13" s="301"/>
      <c r="JG13" s="301"/>
      <c r="JH13" s="301"/>
      <c r="JI13" s="301"/>
      <c r="JJ13" s="301"/>
      <c r="JK13" s="301"/>
      <c r="JL13" s="301"/>
      <c r="JM13" s="301"/>
      <c r="JN13" s="301"/>
      <c r="JO13" s="301"/>
      <c r="JP13" s="301"/>
      <c r="JQ13" s="301"/>
      <c r="JR13" s="301"/>
      <c r="JS13" s="301"/>
      <c r="JT13" s="301"/>
      <c r="JU13" s="301"/>
      <c r="JV13" s="301"/>
      <c r="JW13" s="301"/>
      <c r="JX13" s="301"/>
      <c r="JY13" s="301"/>
      <c r="JZ13" s="301"/>
      <c r="KA13" s="301"/>
      <c r="KB13" s="301"/>
      <c r="KC13" s="301"/>
      <c r="KD13" s="301"/>
      <c r="KE13" s="301"/>
      <c r="KF13" s="301"/>
      <c r="KG13" s="301"/>
      <c r="KH13" s="301"/>
      <c r="KI13" s="301"/>
      <c r="KJ13" s="301"/>
      <c r="KK13" s="301"/>
      <c r="KL13" s="301"/>
      <c r="KM13" s="301"/>
      <c r="KN13" s="301"/>
      <c r="KO13" s="301"/>
      <c r="KP13" s="301"/>
      <c r="KQ13" s="301"/>
      <c r="KR13" s="301"/>
      <c r="KS13" s="301"/>
      <c r="KT13" s="301"/>
      <c r="KU13" s="301"/>
      <c r="KV13" s="301"/>
      <c r="KW13" s="301"/>
      <c r="KX13" s="301"/>
      <c r="KY13" s="301"/>
      <c r="KZ13" s="301"/>
      <c r="LA13" s="301"/>
      <c r="LB13" s="301"/>
      <c r="LC13" s="301"/>
      <c r="LD13" s="301"/>
      <c r="LE13" s="301"/>
      <c r="LF13" s="301"/>
      <c r="LG13" s="301"/>
      <c r="LH13" s="301"/>
      <c r="LI13" s="301"/>
      <c r="LJ13" s="301"/>
      <c r="LK13" s="301"/>
      <c r="LL13" s="301"/>
      <c r="LM13" s="301"/>
      <c r="LN13" s="301"/>
      <c r="LO13" s="301"/>
      <c r="LP13" s="301"/>
      <c r="LQ13" s="301"/>
      <c r="LR13" s="301"/>
      <c r="LS13" s="301"/>
      <c r="LT13" s="301"/>
      <c r="LU13" s="301"/>
      <c r="LV13" s="301"/>
      <c r="LW13" s="301"/>
      <c r="LX13" s="301"/>
      <c r="LY13" s="301"/>
      <c r="LZ13" s="301"/>
      <c r="MA13" s="301"/>
      <c r="MB13" s="301"/>
      <c r="MC13" s="301"/>
      <c r="MD13" s="301"/>
      <c r="ME13" s="301"/>
      <c r="MF13" s="301"/>
      <c r="MG13" s="301"/>
      <c r="MH13" s="301"/>
      <c r="MI13" s="301"/>
      <c r="MJ13" s="301"/>
      <c r="MK13" s="301"/>
      <c r="ML13" s="301"/>
      <c r="MM13" s="301"/>
      <c r="MN13" s="301"/>
      <c r="MO13" s="301"/>
      <c r="MP13" s="301"/>
      <c r="MQ13" s="301"/>
      <c r="MR13" s="301"/>
      <c r="MS13" s="301"/>
      <c r="MT13" s="301"/>
      <c r="MU13" s="301"/>
      <c r="MV13" s="301"/>
      <c r="MW13" s="301"/>
      <c r="MX13" s="301"/>
      <c r="MY13" s="301"/>
      <c r="MZ13" s="301"/>
      <c r="NA13" s="301"/>
      <c r="NB13" s="301"/>
      <c r="NC13" s="301"/>
      <c r="ND13" s="301"/>
      <c r="NE13" s="301"/>
      <c r="NF13" s="301"/>
      <c r="NG13" s="301"/>
      <c r="NH13" s="301"/>
      <c r="NI13" s="301"/>
      <c r="NJ13" s="301"/>
      <c r="NK13" s="301"/>
      <c r="NL13" s="301"/>
      <c r="NM13" s="301"/>
      <c r="NN13" s="301"/>
      <c r="NO13" s="301"/>
      <c r="NP13" s="301"/>
      <c r="NQ13" s="301"/>
      <c r="NR13" s="301"/>
      <c r="NS13" s="301"/>
      <c r="NT13" s="301"/>
      <c r="NU13" s="301"/>
      <c r="NV13" s="301"/>
      <c r="NW13" s="301"/>
      <c r="NX13" s="301"/>
      <c r="NY13" s="301"/>
      <c r="NZ13" s="301"/>
      <c r="OA13" s="301"/>
      <c r="OB13" s="301"/>
      <c r="OC13" s="301"/>
      <c r="OD13" s="301"/>
      <c r="OE13" s="301"/>
      <c r="OF13" s="301"/>
      <c r="OG13" s="301"/>
      <c r="OH13" s="301"/>
      <c r="OI13" s="301"/>
      <c r="OJ13" s="301"/>
      <c r="OK13" s="301"/>
      <c r="OL13" s="301"/>
      <c r="OM13" s="301"/>
      <c r="ON13" s="301"/>
      <c r="OO13" s="301"/>
      <c r="OP13" s="301"/>
      <c r="OQ13" s="301"/>
      <c r="OR13" s="301"/>
      <c r="OS13" s="301"/>
      <c r="OT13" s="301"/>
      <c r="OU13" s="301"/>
      <c r="OV13" s="301"/>
      <c r="OW13" s="301"/>
      <c r="OX13" s="301"/>
      <c r="OY13" s="301"/>
      <c r="OZ13" s="301"/>
      <c r="PA13" s="301"/>
      <c r="PB13" s="301"/>
      <c r="PC13" s="301"/>
      <c r="PD13" s="301"/>
      <c r="PE13" s="301"/>
      <c r="PF13" s="301"/>
      <c r="PG13" s="301"/>
      <c r="PH13" s="301"/>
      <c r="PI13" s="301"/>
      <c r="PJ13" s="301"/>
      <c r="PK13" s="301"/>
      <c r="PL13" s="301"/>
      <c r="PM13" s="301"/>
      <c r="PN13" s="301"/>
      <c r="PO13" s="301"/>
      <c r="PP13" s="301"/>
      <c r="PQ13" s="301"/>
      <c r="PR13" s="301"/>
      <c r="PS13" s="301"/>
      <c r="PT13" s="301"/>
      <c r="PU13" s="301"/>
      <c r="PV13" s="301"/>
      <c r="PW13" s="301"/>
      <c r="PX13" s="301"/>
      <c r="PY13" s="301"/>
      <c r="PZ13" s="301"/>
      <c r="QA13" s="301"/>
      <c r="QB13" s="301"/>
      <c r="QC13" s="301"/>
      <c r="QD13" s="301"/>
      <c r="QE13" s="301"/>
      <c r="QF13" s="301"/>
      <c r="QG13" s="301"/>
      <c r="QH13" s="301"/>
      <c r="QI13" s="301"/>
      <c r="QJ13" s="301"/>
      <c r="QK13" s="301"/>
      <c r="QL13" s="301"/>
      <c r="QM13" s="301"/>
      <c r="QN13" s="301"/>
      <c r="QO13" s="301"/>
      <c r="QP13" s="301"/>
      <c r="QQ13" s="301"/>
      <c r="QR13" s="301"/>
      <c r="QS13" s="301"/>
      <c r="QT13" s="301"/>
      <c r="QU13" s="301"/>
      <c r="QV13" s="301"/>
      <c r="QW13" s="301"/>
      <c r="QX13" s="301"/>
      <c r="QY13" s="301"/>
      <c r="QZ13" s="301"/>
      <c r="RA13" s="301"/>
      <c r="RB13" s="301"/>
      <c r="RC13" s="301"/>
      <c r="RD13" s="301"/>
      <c r="RE13" s="301"/>
      <c r="RF13" s="301"/>
      <c r="RG13" s="301"/>
      <c r="RH13" s="301"/>
      <c r="RI13" s="301"/>
      <c r="RJ13" s="301"/>
      <c r="RK13" s="301"/>
      <c r="RL13" s="301"/>
      <c r="RM13" s="301"/>
      <c r="RN13" s="301"/>
      <c r="RO13" s="301"/>
      <c r="RP13" s="301"/>
      <c r="RQ13" s="301"/>
      <c r="RR13" s="301"/>
      <c r="RS13" s="301"/>
      <c r="RT13" s="301"/>
      <c r="RU13" s="301"/>
      <c r="RV13" s="301"/>
      <c r="RW13" s="301"/>
      <c r="RX13" s="301"/>
      <c r="RY13" s="301"/>
      <c r="RZ13" s="301"/>
      <c r="SA13" s="301"/>
      <c r="SB13" s="301"/>
      <c r="SC13" s="301"/>
      <c r="SD13" s="301"/>
      <c r="SE13" s="301"/>
      <c r="SF13" s="301"/>
      <c r="SG13" s="301"/>
      <c r="SH13" s="301"/>
      <c r="SI13" s="301"/>
      <c r="SJ13" s="301"/>
      <c r="SK13" s="301"/>
      <c r="SL13" s="301"/>
      <c r="SM13" s="301"/>
      <c r="SN13" s="301"/>
      <c r="SO13" s="301"/>
      <c r="SP13" s="301"/>
      <c r="SQ13" s="301"/>
      <c r="SR13" s="301"/>
      <c r="SS13" s="301"/>
      <c r="ST13" s="301"/>
      <c r="SU13" s="301"/>
      <c r="SV13" s="301"/>
      <c r="SW13" s="301"/>
      <c r="SX13" s="301"/>
      <c r="SY13" s="301"/>
      <c r="SZ13" s="301"/>
      <c r="TA13" s="301"/>
      <c r="TB13" s="301"/>
      <c r="TC13" s="301"/>
      <c r="TD13" s="301"/>
      <c r="TE13" s="301"/>
      <c r="TF13" s="301"/>
      <c r="TG13" s="301"/>
      <c r="TH13" s="301"/>
      <c r="TI13" s="301"/>
      <c r="TJ13" s="301"/>
      <c r="TK13" s="301"/>
      <c r="TL13" s="301"/>
      <c r="TM13" s="301"/>
      <c r="TN13" s="301"/>
      <c r="TO13" s="301"/>
      <c r="TP13" s="301"/>
      <c r="TQ13" s="301"/>
      <c r="TR13" s="301"/>
      <c r="TS13" s="301"/>
      <c r="TT13" s="301"/>
      <c r="TU13" s="301"/>
      <c r="TV13" s="301"/>
      <c r="TW13" s="301"/>
      <c r="TX13" s="301"/>
      <c r="TY13" s="301"/>
      <c r="TZ13" s="301"/>
      <c r="UA13" s="301"/>
      <c r="UB13" s="301"/>
      <c r="UC13" s="301"/>
      <c r="UD13" s="301"/>
      <c r="UE13" s="301"/>
      <c r="UF13" s="301"/>
      <c r="UG13" s="301"/>
      <c r="UH13" s="301"/>
      <c r="UI13" s="301"/>
      <c r="UJ13" s="301"/>
      <c r="UK13" s="301"/>
      <c r="UL13" s="301"/>
      <c r="UM13" s="301"/>
      <c r="UN13" s="301"/>
      <c r="UO13" s="301"/>
      <c r="UP13" s="301"/>
      <c r="UQ13" s="301"/>
      <c r="UR13" s="301"/>
      <c r="US13" s="301"/>
      <c r="UT13" s="301"/>
      <c r="UU13" s="301"/>
      <c r="UV13" s="301"/>
      <c r="UW13" s="301"/>
      <c r="UX13" s="301"/>
      <c r="UY13" s="301"/>
      <c r="UZ13" s="301"/>
      <c r="VA13" s="301"/>
      <c r="VB13" s="301"/>
      <c r="VC13" s="301"/>
      <c r="VD13" s="301"/>
      <c r="VE13" s="301"/>
      <c r="VF13" s="301"/>
      <c r="VG13" s="301"/>
      <c r="VH13" s="301"/>
      <c r="VI13" s="301"/>
      <c r="VJ13" s="301"/>
      <c r="VK13" s="301"/>
      <c r="VL13" s="301"/>
      <c r="VM13" s="301"/>
      <c r="VN13" s="301"/>
      <c r="VO13" s="301"/>
      <c r="VP13" s="301"/>
      <c r="VQ13" s="301"/>
      <c r="VR13" s="301"/>
      <c r="VS13" s="301"/>
      <c r="VT13" s="301"/>
      <c r="VU13" s="301"/>
      <c r="VV13" s="301"/>
      <c r="VW13" s="301"/>
      <c r="VX13" s="301"/>
      <c r="VY13" s="301"/>
      <c r="VZ13" s="301"/>
      <c r="WA13" s="301"/>
      <c r="WB13" s="301"/>
      <c r="WC13" s="301"/>
      <c r="WD13" s="301"/>
      <c r="WE13" s="301"/>
      <c r="WF13" s="301"/>
      <c r="WG13" s="301"/>
      <c r="WH13" s="301"/>
      <c r="WI13" s="301"/>
      <c r="WJ13" s="301"/>
      <c r="WK13" s="301"/>
      <c r="WL13" s="301"/>
      <c r="WM13" s="301"/>
      <c r="WN13" s="301"/>
      <c r="WO13" s="301"/>
      <c r="WP13" s="301"/>
      <c r="WQ13" s="301"/>
      <c r="WR13" s="301"/>
      <c r="WS13" s="301"/>
      <c r="WT13" s="301"/>
      <c r="WU13" s="301"/>
      <c r="WV13" s="301"/>
      <c r="WW13" s="301"/>
      <c r="WX13" s="301"/>
      <c r="WY13" s="301"/>
      <c r="WZ13" s="301"/>
      <c r="XA13" s="301"/>
      <c r="XB13" s="301"/>
      <c r="XC13" s="301"/>
      <c r="XD13" s="301"/>
      <c r="XE13" s="301"/>
      <c r="XF13" s="301"/>
      <c r="XG13" s="301"/>
      <c r="XH13" s="301"/>
      <c r="XI13" s="301"/>
      <c r="XJ13" s="301"/>
      <c r="XK13" s="301"/>
      <c r="XL13" s="301"/>
      <c r="XM13" s="301"/>
      <c r="XN13" s="301"/>
      <c r="XO13" s="301"/>
      <c r="XP13" s="301"/>
      <c r="XQ13" s="301"/>
      <c r="XR13" s="301"/>
      <c r="XS13" s="301"/>
      <c r="XT13" s="301"/>
      <c r="XU13" s="301"/>
      <c r="XV13" s="301"/>
      <c r="XW13" s="301"/>
      <c r="XX13" s="301"/>
      <c r="XY13" s="301"/>
      <c r="XZ13" s="301"/>
      <c r="YA13" s="301"/>
      <c r="YB13" s="301"/>
      <c r="YC13" s="301"/>
      <c r="YD13" s="301"/>
      <c r="YE13" s="301"/>
      <c r="YF13" s="301"/>
      <c r="YG13" s="301"/>
      <c r="YH13" s="301"/>
      <c r="YI13" s="301"/>
      <c r="YJ13" s="301"/>
      <c r="YK13" s="301"/>
      <c r="YL13" s="301"/>
      <c r="YM13" s="301"/>
      <c r="YN13" s="301"/>
      <c r="YO13" s="301"/>
      <c r="YP13" s="301"/>
      <c r="YQ13" s="301"/>
      <c r="YR13" s="301"/>
      <c r="YS13" s="301"/>
      <c r="YT13" s="301"/>
      <c r="YU13" s="301"/>
      <c r="YV13" s="301"/>
      <c r="YW13" s="301"/>
      <c r="YX13" s="301"/>
      <c r="YY13" s="301"/>
      <c r="YZ13" s="301"/>
      <c r="ZA13" s="301"/>
      <c r="ZB13" s="301"/>
      <c r="ZC13" s="301"/>
      <c r="ZD13" s="301"/>
      <c r="ZE13" s="301"/>
      <c r="ZF13" s="301"/>
      <c r="ZG13" s="301"/>
      <c r="ZH13" s="301"/>
      <c r="ZI13" s="301"/>
      <c r="ZJ13" s="301"/>
      <c r="ZK13" s="301"/>
      <c r="ZL13" s="301"/>
      <c r="ZM13" s="301"/>
      <c r="ZN13" s="301"/>
      <c r="ZO13" s="301"/>
      <c r="ZP13" s="301"/>
      <c r="ZQ13" s="301"/>
      <c r="ZR13" s="301"/>
      <c r="ZS13" s="301"/>
      <c r="ZT13" s="301"/>
      <c r="ZU13" s="301"/>
      <c r="ZV13" s="301"/>
      <c r="ZW13" s="301"/>
      <c r="ZX13" s="301"/>
      <c r="ZY13" s="301"/>
      <c r="ZZ13" s="301"/>
      <c r="AAA13" s="301"/>
      <c r="AAB13" s="301"/>
      <c r="AAC13" s="301"/>
      <c r="AAD13" s="301"/>
      <c r="AAE13" s="301"/>
      <c r="AAF13" s="301"/>
      <c r="AAG13" s="301"/>
      <c r="AAH13" s="301"/>
      <c r="AAI13" s="301"/>
      <c r="AAJ13" s="301"/>
      <c r="AAK13" s="301"/>
      <c r="AAL13" s="301"/>
      <c r="AAM13" s="301"/>
      <c r="AAN13" s="301"/>
      <c r="AAO13" s="301"/>
      <c r="AAP13" s="301"/>
      <c r="AAQ13" s="301"/>
      <c r="AAR13" s="301"/>
      <c r="AAS13" s="301"/>
      <c r="AAT13" s="301"/>
      <c r="AAU13" s="301"/>
      <c r="AAV13" s="301"/>
      <c r="AAW13" s="301"/>
      <c r="AAX13" s="301"/>
      <c r="AAY13" s="301"/>
      <c r="AAZ13" s="301"/>
      <c r="ABA13" s="301"/>
      <c r="ABB13" s="301"/>
      <c r="ABC13" s="301"/>
      <c r="ABD13" s="301"/>
      <c r="ABE13" s="301"/>
      <c r="ABF13" s="301"/>
      <c r="ABG13" s="301"/>
      <c r="ABH13" s="301"/>
      <c r="ABI13" s="301"/>
      <c r="ABJ13" s="301"/>
      <c r="ABK13" s="301"/>
      <c r="ABL13" s="301"/>
      <c r="ABM13" s="301"/>
      <c r="ABN13" s="301"/>
      <c r="ABO13" s="301"/>
      <c r="ABP13" s="301"/>
      <c r="ABQ13" s="301"/>
      <c r="ABR13" s="301"/>
      <c r="ABS13" s="301"/>
      <c r="ABT13" s="301"/>
      <c r="ABU13" s="301"/>
      <c r="ABV13" s="301"/>
      <c r="ABW13" s="301"/>
      <c r="ABX13" s="301"/>
      <c r="ABY13" s="301"/>
      <c r="ABZ13" s="301"/>
      <c r="ACA13" s="301"/>
      <c r="ACB13" s="301"/>
      <c r="ACC13" s="301"/>
      <c r="ACD13" s="301"/>
      <c r="ACE13" s="301"/>
      <c r="ACF13" s="301"/>
      <c r="ACG13" s="301"/>
      <c r="ACH13" s="301"/>
      <c r="ACI13" s="301"/>
      <c r="ACJ13" s="301"/>
      <c r="ACK13" s="301"/>
      <c r="ACL13" s="301"/>
      <c r="ACM13" s="301"/>
      <c r="ACN13" s="301"/>
      <c r="ACO13" s="301"/>
      <c r="ACP13" s="301"/>
      <c r="ACQ13" s="301"/>
      <c r="ACR13" s="301"/>
      <c r="ACS13" s="301"/>
      <c r="ACT13" s="301"/>
      <c r="ACU13" s="301"/>
      <c r="ACV13" s="301"/>
      <c r="ACW13" s="301"/>
      <c r="ACX13" s="301"/>
      <c r="ACY13" s="301"/>
      <c r="ACZ13" s="301"/>
      <c r="ADA13" s="301"/>
      <c r="ADB13" s="301"/>
      <c r="ADC13" s="301"/>
      <c r="ADD13" s="301"/>
      <c r="ADE13" s="301"/>
      <c r="ADF13" s="301"/>
      <c r="ADG13" s="301"/>
      <c r="ADH13" s="301"/>
      <c r="ADI13" s="301"/>
      <c r="ADJ13" s="301"/>
      <c r="ADK13" s="301"/>
      <c r="ADL13" s="301"/>
      <c r="ADM13" s="301"/>
      <c r="ADN13" s="301"/>
      <c r="ADO13" s="301"/>
      <c r="ADP13" s="301"/>
      <c r="ADQ13" s="301"/>
      <c r="ADR13" s="301"/>
      <c r="ADS13" s="301"/>
      <c r="ADT13" s="301"/>
      <c r="ADU13" s="301"/>
      <c r="ADV13" s="301"/>
      <c r="ADW13" s="301"/>
      <c r="ADX13" s="301"/>
      <c r="ADY13" s="301"/>
      <c r="ADZ13" s="301"/>
      <c r="AEA13" s="301"/>
      <c r="AEB13" s="301"/>
      <c r="AEC13" s="301"/>
      <c r="AED13" s="301"/>
      <c r="AEE13" s="301"/>
      <c r="AEF13" s="301"/>
      <c r="AEG13" s="301"/>
      <c r="AEH13" s="301"/>
      <c r="AEI13" s="301"/>
      <c r="AEJ13" s="301"/>
      <c r="AEK13" s="301"/>
      <c r="AEL13" s="301"/>
      <c r="AEM13" s="301"/>
      <c r="AEN13" s="301"/>
      <c r="AEO13" s="301"/>
      <c r="AEP13" s="301"/>
      <c r="AEQ13" s="301"/>
      <c r="AER13" s="301"/>
      <c r="AES13" s="301"/>
      <c r="AET13" s="301"/>
      <c r="AEU13" s="301"/>
      <c r="AEV13" s="301"/>
      <c r="AEW13" s="301"/>
      <c r="AEX13" s="301"/>
      <c r="AEY13" s="301"/>
      <c r="AEZ13" s="301"/>
      <c r="AFA13" s="301"/>
      <c r="AFB13" s="301"/>
      <c r="AFC13" s="301"/>
      <c r="AFD13" s="301"/>
      <c r="AFE13" s="301"/>
      <c r="AFF13" s="301"/>
      <c r="AFG13" s="301"/>
      <c r="AFH13" s="301"/>
      <c r="AFI13" s="301"/>
      <c r="AFJ13" s="301"/>
      <c r="AFK13" s="301"/>
      <c r="AFL13" s="301"/>
      <c r="AFM13" s="301"/>
      <c r="AFN13" s="301"/>
      <c r="AFO13" s="301"/>
      <c r="AFP13" s="301"/>
      <c r="AFQ13" s="301"/>
      <c r="AFR13" s="301"/>
      <c r="AFS13" s="301"/>
      <c r="AFT13" s="301"/>
      <c r="AFU13" s="301"/>
      <c r="AFV13" s="301"/>
      <c r="AFW13" s="301"/>
      <c r="AFX13" s="301"/>
      <c r="AFY13" s="301"/>
      <c r="AFZ13" s="301"/>
      <c r="AGA13" s="301"/>
      <c r="AGB13" s="301"/>
      <c r="AGC13" s="301"/>
      <c r="AGD13" s="301"/>
      <c r="AGE13" s="301"/>
      <c r="AGF13" s="301"/>
      <c r="AGG13" s="301"/>
      <c r="AGH13" s="301"/>
      <c r="AGI13" s="301"/>
      <c r="AGJ13" s="301"/>
      <c r="AGK13" s="301"/>
      <c r="AGL13" s="301"/>
      <c r="AGM13" s="301"/>
      <c r="AGN13" s="301"/>
      <c r="AGO13" s="301"/>
      <c r="AGP13" s="301"/>
      <c r="AGQ13" s="301"/>
      <c r="AGR13" s="301"/>
      <c r="AGS13" s="301"/>
      <c r="AGT13" s="301"/>
      <c r="AGU13" s="301"/>
      <c r="AGV13" s="301"/>
      <c r="AGW13" s="301"/>
      <c r="AGX13" s="301"/>
      <c r="AGY13" s="301"/>
      <c r="AGZ13" s="301"/>
      <c r="AHA13" s="301"/>
      <c r="AHB13" s="301"/>
      <c r="AHC13" s="301"/>
      <c r="AHD13" s="301"/>
      <c r="AHE13" s="301"/>
      <c r="AHF13" s="301"/>
      <c r="AHG13" s="301"/>
      <c r="AHH13" s="301"/>
      <c r="AHI13" s="301"/>
      <c r="AHJ13" s="301"/>
      <c r="AHK13" s="301"/>
      <c r="AHL13" s="301"/>
      <c r="AHM13" s="301"/>
      <c r="AHN13" s="301"/>
      <c r="AHO13" s="301"/>
      <c r="AHP13" s="301"/>
      <c r="AHQ13" s="301"/>
      <c r="AHR13" s="301"/>
      <c r="AHS13" s="301"/>
      <c r="AHT13" s="301"/>
      <c r="AHU13" s="301"/>
      <c r="AHV13" s="301"/>
      <c r="AHW13" s="301"/>
      <c r="AHX13" s="301"/>
      <c r="AHY13" s="301"/>
      <c r="AHZ13" s="301"/>
      <c r="AIA13" s="301"/>
      <c r="AIB13" s="301"/>
      <c r="AIC13" s="301"/>
      <c r="AID13" s="301"/>
      <c r="AIE13" s="301"/>
      <c r="AIF13" s="301"/>
      <c r="AIG13" s="301"/>
      <c r="AIH13" s="301"/>
      <c r="AII13" s="301"/>
      <c r="AIJ13" s="301"/>
      <c r="AIK13" s="301"/>
      <c r="AIL13" s="301"/>
      <c r="AIM13" s="301"/>
      <c r="AIN13" s="301"/>
      <c r="AIO13" s="301"/>
      <c r="AIP13" s="301"/>
      <c r="AIQ13" s="301"/>
      <c r="AIR13" s="301"/>
      <c r="AIS13" s="301"/>
      <c r="AIT13" s="301"/>
      <c r="AIU13" s="301"/>
      <c r="AIV13" s="301"/>
      <c r="AIW13" s="301"/>
      <c r="AIX13" s="301"/>
      <c r="AIY13" s="301"/>
      <c r="AIZ13" s="301"/>
      <c r="AJA13" s="301"/>
      <c r="AJB13" s="301"/>
      <c r="AJC13" s="301"/>
      <c r="AJD13" s="301"/>
      <c r="AJE13" s="301"/>
      <c r="AJF13" s="301"/>
      <c r="AJG13" s="301"/>
      <c r="AJH13" s="301"/>
      <c r="AJI13" s="301"/>
      <c r="AJJ13" s="301"/>
      <c r="AJK13" s="301"/>
      <c r="AJL13" s="301"/>
      <c r="AJM13" s="301"/>
      <c r="AJN13" s="301"/>
      <c r="AJO13" s="301"/>
      <c r="AJP13" s="301"/>
      <c r="AJQ13" s="301"/>
      <c r="AJR13" s="301"/>
      <c r="AJS13" s="301"/>
      <c r="AJT13" s="301"/>
      <c r="AJU13" s="301"/>
      <c r="AJV13" s="301"/>
      <c r="AJW13" s="301"/>
      <c r="AJX13" s="301"/>
      <c r="AJY13" s="301"/>
      <c r="AJZ13" s="301"/>
      <c r="AKA13" s="301"/>
      <c r="AKB13" s="301"/>
      <c r="AKC13" s="301"/>
      <c r="AKD13" s="301"/>
      <c r="AKE13" s="301"/>
      <c r="AKF13" s="301"/>
      <c r="AKG13" s="301"/>
      <c r="AKH13" s="301"/>
      <c r="AKI13" s="301"/>
      <c r="AKJ13" s="301"/>
      <c r="AKK13" s="301"/>
      <c r="AKL13" s="301"/>
      <c r="AKM13" s="301"/>
      <c r="AKN13" s="301"/>
      <c r="AKO13" s="301"/>
      <c r="AKP13" s="301"/>
      <c r="AKQ13" s="301"/>
      <c r="AKR13" s="301"/>
      <c r="AKS13" s="301"/>
      <c r="AKT13" s="301"/>
      <c r="AKU13" s="301"/>
      <c r="AKV13" s="301"/>
      <c r="AKW13" s="301"/>
      <c r="AKX13" s="301"/>
      <c r="AKY13" s="301"/>
      <c r="AKZ13" s="301"/>
      <c r="ALA13" s="301"/>
      <c r="ALB13" s="301"/>
      <c r="ALC13" s="301"/>
      <c r="ALD13" s="301"/>
      <c r="ALE13" s="301"/>
      <c r="ALF13" s="301"/>
      <c r="ALG13" s="301"/>
      <c r="ALH13" s="301"/>
      <c r="ALI13" s="301"/>
      <c r="ALJ13" s="301"/>
      <c r="ALK13" s="301"/>
      <c r="ALL13" s="301"/>
      <c r="ALM13" s="301"/>
      <c r="ALN13" s="301"/>
      <c r="ALO13" s="301"/>
      <c r="ALP13" s="301"/>
      <c r="ALQ13" s="301"/>
      <c r="ALR13" s="301"/>
      <c r="ALS13" s="301"/>
      <c r="ALT13" s="301"/>
      <c r="ALU13" s="301"/>
      <c r="ALV13" s="301"/>
      <c r="ALW13" s="301"/>
      <c r="ALX13" s="301"/>
      <c r="ALY13" s="301"/>
      <c r="ALZ13" s="301"/>
      <c r="AMA13" s="301"/>
      <c r="AMB13" s="301"/>
      <c r="AMC13" s="301"/>
      <c r="AMD13" s="301"/>
      <c r="AME13" s="301"/>
      <c r="AMF13" s="301"/>
      <c r="AMG13" s="301"/>
      <c r="AMH13" s="301"/>
      <c r="AMI13" s="301"/>
      <c r="AMJ13" s="301"/>
    </row>
    <row r="14" customFormat="false" ht="12.8" hidden="false" customHeight="false" outlineLevel="0" collapsed="false">
      <c r="A14" s="299" t="s">
        <v>200</v>
      </c>
      <c r="B14" s="310"/>
      <c r="C14" s="311" t="str">
        <f aca="false">IF(B14&gt;0,1,"")</f>
        <v/>
      </c>
      <c r="D14" s="310"/>
      <c r="E14" s="311" t="str">
        <f aca="false">IF(D14&gt;0,1,"")</f>
        <v/>
      </c>
      <c r="F14" s="310" t="n">
        <f aca="false">SUM(Worksheet!Q35:Q46)/12*(1-(Worksheet!D14+Worksheet!D15))</f>
        <v>0</v>
      </c>
      <c r="G14" s="311" t="str">
        <f aca="false">IF(F14&gt;0,1,"")</f>
        <v/>
      </c>
      <c r="H14" s="310"/>
      <c r="I14" s="311" t="str">
        <f aca="false">IF(H14&gt;0,1,"")</f>
        <v/>
      </c>
      <c r="J14" s="313" t="str">
        <f aca="false">IF(SUM(C14,E14,G14,I14)&gt;1,"ERROR",IF(B14&gt;=1,B14*52,IF(D14&gt;=1,D14*26,IF(F14&gt;=1,F14*12,IF(H14&gt;=1,H14*4,"")))))</f>
        <v/>
      </c>
      <c r="K14" s="301"/>
      <c r="L14" s="318"/>
      <c r="M14" s="301"/>
      <c r="N14" s="301"/>
      <c r="O14" s="301"/>
      <c r="P14" s="301"/>
      <c r="Q14" s="301"/>
      <c r="R14" s="301"/>
      <c r="S14" s="301"/>
      <c r="T14" s="301"/>
      <c r="U14" s="301"/>
      <c r="V14" s="301"/>
      <c r="W14" s="301"/>
      <c r="X14" s="301"/>
      <c r="Y14" s="301"/>
      <c r="Z14" s="301"/>
      <c r="AA14" s="301"/>
      <c r="AB14" s="301"/>
      <c r="AC14" s="301"/>
      <c r="AD14" s="301"/>
      <c r="AE14" s="301"/>
      <c r="AF14" s="301"/>
      <c r="AG14" s="301"/>
      <c r="AH14" s="301"/>
      <c r="AI14" s="301"/>
      <c r="AJ14" s="301"/>
      <c r="AK14" s="301"/>
      <c r="AL14" s="301"/>
      <c r="AM14" s="301"/>
      <c r="AN14" s="301"/>
      <c r="AO14" s="301"/>
      <c r="AP14" s="301"/>
      <c r="AQ14" s="301"/>
      <c r="AR14" s="301"/>
      <c r="AS14" s="301"/>
      <c r="AT14" s="301"/>
      <c r="AU14" s="301"/>
      <c r="AV14" s="301"/>
      <c r="AW14" s="301"/>
      <c r="AX14" s="301"/>
      <c r="AY14" s="301"/>
      <c r="AZ14" s="301"/>
      <c r="BA14" s="301"/>
      <c r="BB14" s="301"/>
      <c r="BC14" s="301"/>
      <c r="BD14" s="301"/>
      <c r="BE14" s="301"/>
      <c r="BF14" s="301"/>
      <c r="BG14" s="301"/>
      <c r="BH14" s="301"/>
      <c r="BI14" s="301"/>
      <c r="BJ14" s="301"/>
      <c r="BK14" s="301"/>
      <c r="BL14" s="301"/>
      <c r="BM14" s="301"/>
      <c r="BN14" s="301"/>
      <c r="BO14" s="301"/>
      <c r="BP14" s="301"/>
      <c r="BQ14" s="301"/>
      <c r="BR14" s="301"/>
      <c r="BS14" s="301"/>
      <c r="BT14" s="301"/>
      <c r="BU14" s="301"/>
      <c r="BV14" s="301"/>
      <c r="BW14" s="301"/>
      <c r="BX14" s="301"/>
      <c r="BY14" s="301"/>
      <c r="BZ14" s="301"/>
      <c r="CA14" s="301"/>
      <c r="CB14" s="301"/>
      <c r="CC14" s="301"/>
      <c r="CD14" s="301"/>
      <c r="CE14" s="301"/>
      <c r="CF14" s="301"/>
      <c r="CG14" s="301"/>
      <c r="CH14" s="301"/>
      <c r="CI14" s="301"/>
      <c r="CJ14" s="301"/>
      <c r="CK14" s="301"/>
      <c r="CL14" s="301"/>
      <c r="CM14" s="301"/>
      <c r="CN14" s="301"/>
      <c r="CO14" s="301"/>
      <c r="CP14" s="301"/>
      <c r="CQ14" s="301"/>
      <c r="CR14" s="301"/>
      <c r="CS14" s="301"/>
      <c r="CT14" s="301"/>
      <c r="CU14" s="301"/>
      <c r="CV14" s="301"/>
      <c r="CW14" s="301"/>
      <c r="CX14" s="301"/>
      <c r="CY14" s="301"/>
      <c r="CZ14" s="301"/>
      <c r="DA14" s="301"/>
      <c r="DB14" s="301"/>
      <c r="DC14" s="301"/>
      <c r="DD14" s="301"/>
      <c r="DE14" s="301"/>
      <c r="DF14" s="301"/>
      <c r="DG14" s="301"/>
      <c r="DH14" s="301"/>
      <c r="DI14" s="301"/>
      <c r="DJ14" s="301"/>
      <c r="DK14" s="301"/>
      <c r="DL14" s="301"/>
      <c r="DM14" s="301"/>
      <c r="DN14" s="301"/>
      <c r="DO14" s="301"/>
      <c r="DP14" s="301"/>
      <c r="DQ14" s="301"/>
      <c r="DR14" s="301"/>
      <c r="DS14" s="301"/>
      <c r="DT14" s="301"/>
      <c r="DU14" s="301"/>
      <c r="DV14" s="301"/>
      <c r="DW14" s="301"/>
      <c r="DX14" s="301"/>
      <c r="DY14" s="301"/>
      <c r="DZ14" s="301"/>
      <c r="EA14" s="301"/>
      <c r="EB14" s="301"/>
      <c r="EC14" s="301"/>
      <c r="ED14" s="301"/>
      <c r="EE14" s="301"/>
      <c r="EF14" s="301"/>
      <c r="EG14" s="301"/>
      <c r="EH14" s="301"/>
      <c r="EI14" s="301"/>
      <c r="EJ14" s="301"/>
      <c r="EK14" s="301"/>
      <c r="EL14" s="301"/>
      <c r="EM14" s="301"/>
      <c r="EN14" s="301"/>
      <c r="EO14" s="301"/>
      <c r="EP14" s="301"/>
      <c r="EQ14" s="301"/>
      <c r="ER14" s="301"/>
      <c r="ES14" s="301"/>
      <c r="ET14" s="301"/>
      <c r="EU14" s="301"/>
      <c r="EV14" s="301"/>
      <c r="EW14" s="301"/>
      <c r="EX14" s="301"/>
      <c r="EY14" s="301"/>
      <c r="EZ14" s="301"/>
      <c r="FA14" s="301"/>
      <c r="FB14" s="301"/>
      <c r="FC14" s="301"/>
      <c r="FD14" s="301"/>
      <c r="FE14" s="301"/>
      <c r="FF14" s="301"/>
      <c r="FG14" s="301"/>
      <c r="FH14" s="301"/>
      <c r="FI14" s="301"/>
      <c r="FJ14" s="301"/>
      <c r="FK14" s="301"/>
      <c r="FL14" s="301"/>
      <c r="FM14" s="301"/>
      <c r="FN14" s="301"/>
      <c r="FO14" s="301"/>
      <c r="FP14" s="301"/>
      <c r="FQ14" s="301"/>
      <c r="FR14" s="301"/>
      <c r="FS14" s="301"/>
      <c r="FT14" s="301"/>
      <c r="FU14" s="301"/>
      <c r="FV14" s="301"/>
      <c r="FW14" s="301"/>
      <c r="FX14" s="301"/>
      <c r="FY14" s="301"/>
      <c r="FZ14" s="301"/>
      <c r="GA14" s="301"/>
      <c r="GB14" s="301"/>
      <c r="GC14" s="301"/>
      <c r="GD14" s="301"/>
      <c r="GE14" s="301"/>
      <c r="GF14" s="301"/>
      <c r="GG14" s="301"/>
      <c r="GH14" s="301"/>
      <c r="GI14" s="301"/>
      <c r="GJ14" s="301"/>
      <c r="GK14" s="301"/>
      <c r="GL14" s="301"/>
      <c r="GM14" s="301"/>
      <c r="GN14" s="301"/>
      <c r="GO14" s="301"/>
      <c r="GP14" s="301"/>
      <c r="GQ14" s="301"/>
      <c r="GR14" s="301"/>
      <c r="GS14" s="301"/>
      <c r="GT14" s="301"/>
      <c r="GU14" s="301"/>
      <c r="GV14" s="301"/>
      <c r="GW14" s="301"/>
      <c r="GX14" s="301"/>
      <c r="GY14" s="301"/>
      <c r="GZ14" s="301"/>
      <c r="HA14" s="301"/>
      <c r="HB14" s="301"/>
      <c r="HC14" s="301"/>
      <c r="HD14" s="301"/>
      <c r="HE14" s="301"/>
      <c r="HF14" s="301"/>
      <c r="HG14" s="301"/>
      <c r="HH14" s="301"/>
      <c r="HI14" s="301"/>
      <c r="HJ14" s="301"/>
      <c r="HK14" s="301"/>
      <c r="HL14" s="301"/>
      <c r="HM14" s="301"/>
      <c r="HN14" s="301"/>
      <c r="HO14" s="301"/>
      <c r="HP14" s="301"/>
      <c r="HQ14" s="301"/>
      <c r="HR14" s="301"/>
      <c r="HS14" s="301"/>
      <c r="HT14" s="301"/>
      <c r="HU14" s="301"/>
      <c r="HV14" s="301"/>
      <c r="HW14" s="301"/>
      <c r="HX14" s="301"/>
      <c r="HY14" s="301"/>
      <c r="HZ14" s="301"/>
      <c r="IA14" s="301"/>
      <c r="IB14" s="301"/>
      <c r="IC14" s="301"/>
      <c r="ID14" s="301"/>
      <c r="IE14" s="301"/>
      <c r="IF14" s="301"/>
      <c r="IG14" s="301"/>
      <c r="IH14" s="301"/>
      <c r="II14" s="301"/>
      <c r="IJ14" s="301"/>
      <c r="IK14" s="301"/>
      <c r="IL14" s="301"/>
      <c r="IM14" s="301"/>
      <c r="IN14" s="301"/>
      <c r="IO14" s="301"/>
      <c r="IP14" s="301"/>
      <c r="IQ14" s="301"/>
      <c r="IR14" s="301"/>
      <c r="IS14" s="301"/>
      <c r="IT14" s="301"/>
      <c r="IU14" s="301"/>
      <c r="IV14" s="301"/>
      <c r="IW14" s="301"/>
      <c r="IX14" s="301"/>
      <c r="IY14" s="301"/>
      <c r="IZ14" s="301"/>
      <c r="JA14" s="301"/>
      <c r="JB14" s="301"/>
      <c r="JC14" s="301"/>
      <c r="JD14" s="301"/>
      <c r="JE14" s="301"/>
      <c r="JF14" s="301"/>
      <c r="JG14" s="301"/>
      <c r="JH14" s="301"/>
      <c r="JI14" s="301"/>
      <c r="JJ14" s="301"/>
      <c r="JK14" s="301"/>
      <c r="JL14" s="301"/>
      <c r="JM14" s="301"/>
      <c r="JN14" s="301"/>
      <c r="JO14" s="301"/>
      <c r="JP14" s="301"/>
      <c r="JQ14" s="301"/>
      <c r="JR14" s="301"/>
      <c r="JS14" s="301"/>
      <c r="JT14" s="301"/>
      <c r="JU14" s="301"/>
      <c r="JV14" s="301"/>
      <c r="JW14" s="301"/>
      <c r="JX14" s="301"/>
      <c r="JY14" s="301"/>
      <c r="JZ14" s="301"/>
      <c r="KA14" s="301"/>
      <c r="KB14" s="301"/>
      <c r="KC14" s="301"/>
      <c r="KD14" s="301"/>
      <c r="KE14" s="301"/>
      <c r="KF14" s="301"/>
      <c r="KG14" s="301"/>
      <c r="KH14" s="301"/>
      <c r="KI14" s="301"/>
      <c r="KJ14" s="301"/>
      <c r="KK14" s="301"/>
      <c r="KL14" s="301"/>
      <c r="KM14" s="301"/>
      <c r="KN14" s="301"/>
      <c r="KO14" s="301"/>
      <c r="KP14" s="301"/>
      <c r="KQ14" s="301"/>
      <c r="KR14" s="301"/>
      <c r="KS14" s="301"/>
      <c r="KT14" s="301"/>
      <c r="KU14" s="301"/>
      <c r="KV14" s="301"/>
      <c r="KW14" s="301"/>
      <c r="KX14" s="301"/>
      <c r="KY14" s="301"/>
      <c r="KZ14" s="301"/>
      <c r="LA14" s="301"/>
      <c r="LB14" s="301"/>
      <c r="LC14" s="301"/>
      <c r="LD14" s="301"/>
      <c r="LE14" s="301"/>
      <c r="LF14" s="301"/>
      <c r="LG14" s="301"/>
      <c r="LH14" s="301"/>
      <c r="LI14" s="301"/>
      <c r="LJ14" s="301"/>
      <c r="LK14" s="301"/>
      <c r="LL14" s="301"/>
      <c r="LM14" s="301"/>
      <c r="LN14" s="301"/>
      <c r="LO14" s="301"/>
      <c r="LP14" s="301"/>
      <c r="LQ14" s="301"/>
      <c r="LR14" s="301"/>
      <c r="LS14" s="301"/>
      <c r="LT14" s="301"/>
      <c r="LU14" s="301"/>
      <c r="LV14" s="301"/>
      <c r="LW14" s="301"/>
      <c r="LX14" s="301"/>
      <c r="LY14" s="301"/>
      <c r="LZ14" s="301"/>
      <c r="MA14" s="301"/>
      <c r="MB14" s="301"/>
      <c r="MC14" s="301"/>
      <c r="MD14" s="301"/>
      <c r="ME14" s="301"/>
      <c r="MF14" s="301"/>
      <c r="MG14" s="301"/>
      <c r="MH14" s="301"/>
      <c r="MI14" s="301"/>
      <c r="MJ14" s="301"/>
      <c r="MK14" s="301"/>
      <c r="ML14" s="301"/>
      <c r="MM14" s="301"/>
      <c r="MN14" s="301"/>
      <c r="MO14" s="301"/>
      <c r="MP14" s="301"/>
      <c r="MQ14" s="301"/>
      <c r="MR14" s="301"/>
      <c r="MS14" s="301"/>
      <c r="MT14" s="301"/>
      <c r="MU14" s="301"/>
      <c r="MV14" s="301"/>
      <c r="MW14" s="301"/>
      <c r="MX14" s="301"/>
      <c r="MY14" s="301"/>
      <c r="MZ14" s="301"/>
      <c r="NA14" s="301"/>
      <c r="NB14" s="301"/>
      <c r="NC14" s="301"/>
      <c r="ND14" s="301"/>
      <c r="NE14" s="301"/>
      <c r="NF14" s="301"/>
      <c r="NG14" s="301"/>
      <c r="NH14" s="301"/>
      <c r="NI14" s="301"/>
      <c r="NJ14" s="301"/>
      <c r="NK14" s="301"/>
      <c r="NL14" s="301"/>
      <c r="NM14" s="301"/>
      <c r="NN14" s="301"/>
      <c r="NO14" s="301"/>
      <c r="NP14" s="301"/>
      <c r="NQ14" s="301"/>
      <c r="NR14" s="301"/>
      <c r="NS14" s="301"/>
      <c r="NT14" s="301"/>
      <c r="NU14" s="301"/>
      <c r="NV14" s="301"/>
      <c r="NW14" s="301"/>
      <c r="NX14" s="301"/>
      <c r="NY14" s="301"/>
      <c r="NZ14" s="301"/>
      <c r="OA14" s="301"/>
      <c r="OB14" s="301"/>
      <c r="OC14" s="301"/>
      <c r="OD14" s="301"/>
      <c r="OE14" s="301"/>
      <c r="OF14" s="301"/>
      <c r="OG14" s="301"/>
      <c r="OH14" s="301"/>
      <c r="OI14" s="301"/>
      <c r="OJ14" s="301"/>
      <c r="OK14" s="301"/>
      <c r="OL14" s="301"/>
      <c r="OM14" s="301"/>
      <c r="ON14" s="301"/>
      <c r="OO14" s="301"/>
      <c r="OP14" s="301"/>
      <c r="OQ14" s="301"/>
      <c r="OR14" s="301"/>
      <c r="OS14" s="301"/>
      <c r="OT14" s="301"/>
      <c r="OU14" s="301"/>
      <c r="OV14" s="301"/>
      <c r="OW14" s="301"/>
      <c r="OX14" s="301"/>
      <c r="OY14" s="301"/>
      <c r="OZ14" s="301"/>
      <c r="PA14" s="301"/>
      <c r="PB14" s="301"/>
      <c r="PC14" s="301"/>
      <c r="PD14" s="301"/>
      <c r="PE14" s="301"/>
      <c r="PF14" s="301"/>
      <c r="PG14" s="301"/>
      <c r="PH14" s="301"/>
      <c r="PI14" s="301"/>
      <c r="PJ14" s="301"/>
      <c r="PK14" s="301"/>
      <c r="PL14" s="301"/>
      <c r="PM14" s="301"/>
      <c r="PN14" s="301"/>
      <c r="PO14" s="301"/>
      <c r="PP14" s="301"/>
      <c r="PQ14" s="301"/>
      <c r="PR14" s="301"/>
      <c r="PS14" s="301"/>
      <c r="PT14" s="301"/>
      <c r="PU14" s="301"/>
      <c r="PV14" s="301"/>
      <c r="PW14" s="301"/>
      <c r="PX14" s="301"/>
      <c r="PY14" s="301"/>
      <c r="PZ14" s="301"/>
      <c r="QA14" s="301"/>
      <c r="QB14" s="301"/>
      <c r="QC14" s="301"/>
      <c r="QD14" s="301"/>
      <c r="QE14" s="301"/>
      <c r="QF14" s="301"/>
      <c r="QG14" s="301"/>
      <c r="QH14" s="301"/>
      <c r="QI14" s="301"/>
      <c r="QJ14" s="301"/>
      <c r="QK14" s="301"/>
      <c r="QL14" s="301"/>
      <c r="QM14" s="301"/>
      <c r="QN14" s="301"/>
      <c r="QO14" s="301"/>
      <c r="QP14" s="301"/>
      <c r="QQ14" s="301"/>
      <c r="QR14" s="301"/>
      <c r="QS14" s="301"/>
      <c r="QT14" s="301"/>
      <c r="QU14" s="301"/>
      <c r="QV14" s="301"/>
      <c r="QW14" s="301"/>
      <c r="QX14" s="301"/>
      <c r="QY14" s="301"/>
      <c r="QZ14" s="301"/>
      <c r="RA14" s="301"/>
      <c r="RB14" s="301"/>
      <c r="RC14" s="301"/>
      <c r="RD14" s="301"/>
      <c r="RE14" s="301"/>
      <c r="RF14" s="301"/>
      <c r="RG14" s="301"/>
      <c r="RH14" s="301"/>
      <c r="RI14" s="301"/>
      <c r="RJ14" s="301"/>
      <c r="RK14" s="301"/>
      <c r="RL14" s="301"/>
      <c r="RM14" s="301"/>
      <c r="RN14" s="301"/>
      <c r="RO14" s="301"/>
      <c r="RP14" s="301"/>
      <c r="RQ14" s="301"/>
      <c r="RR14" s="301"/>
      <c r="RS14" s="301"/>
      <c r="RT14" s="301"/>
      <c r="RU14" s="301"/>
      <c r="RV14" s="301"/>
      <c r="RW14" s="301"/>
      <c r="RX14" s="301"/>
      <c r="RY14" s="301"/>
      <c r="RZ14" s="301"/>
      <c r="SA14" s="301"/>
      <c r="SB14" s="301"/>
      <c r="SC14" s="301"/>
      <c r="SD14" s="301"/>
      <c r="SE14" s="301"/>
      <c r="SF14" s="301"/>
      <c r="SG14" s="301"/>
      <c r="SH14" s="301"/>
      <c r="SI14" s="301"/>
      <c r="SJ14" s="301"/>
      <c r="SK14" s="301"/>
      <c r="SL14" s="301"/>
      <c r="SM14" s="301"/>
      <c r="SN14" s="301"/>
      <c r="SO14" s="301"/>
      <c r="SP14" s="301"/>
      <c r="SQ14" s="301"/>
      <c r="SR14" s="301"/>
      <c r="SS14" s="301"/>
      <c r="ST14" s="301"/>
      <c r="SU14" s="301"/>
      <c r="SV14" s="301"/>
      <c r="SW14" s="301"/>
      <c r="SX14" s="301"/>
      <c r="SY14" s="301"/>
      <c r="SZ14" s="301"/>
      <c r="TA14" s="301"/>
      <c r="TB14" s="301"/>
      <c r="TC14" s="301"/>
      <c r="TD14" s="301"/>
      <c r="TE14" s="301"/>
      <c r="TF14" s="301"/>
      <c r="TG14" s="301"/>
      <c r="TH14" s="301"/>
      <c r="TI14" s="301"/>
      <c r="TJ14" s="301"/>
      <c r="TK14" s="301"/>
      <c r="TL14" s="301"/>
      <c r="TM14" s="301"/>
      <c r="TN14" s="301"/>
      <c r="TO14" s="301"/>
      <c r="TP14" s="301"/>
      <c r="TQ14" s="301"/>
      <c r="TR14" s="301"/>
      <c r="TS14" s="301"/>
      <c r="TT14" s="301"/>
      <c r="TU14" s="301"/>
      <c r="TV14" s="301"/>
      <c r="TW14" s="301"/>
      <c r="TX14" s="301"/>
      <c r="TY14" s="301"/>
      <c r="TZ14" s="301"/>
      <c r="UA14" s="301"/>
      <c r="UB14" s="301"/>
      <c r="UC14" s="301"/>
      <c r="UD14" s="301"/>
      <c r="UE14" s="301"/>
      <c r="UF14" s="301"/>
      <c r="UG14" s="301"/>
      <c r="UH14" s="301"/>
      <c r="UI14" s="301"/>
      <c r="UJ14" s="301"/>
      <c r="UK14" s="301"/>
      <c r="UL14" s="301"/>
      <c r="UM14" s="301"/>
      <c r="UN14" s="301"/>
      <c r="UO14" s="301"/>
      <c r="UP14" s="301"/>
      <c r="UQ14" s="301"/>
      <c r="UR14" s="301"/>
      <c r="US14" s="301"/>
      <c r="UT14" s="301"/>
      <c r="UU14" s="301"/>
      <c r="UV14" s="301"/>
      <c r="UW14" s="301"/>
      <c r="UX14" s="301"/>
      <c r="UY14" s="301"/>
      <c r="UZ14" s="301"/>
      <c r="VA14" s="301"/>
      <c r="VB14" s="301"/>
      <c r="VC14" s="301"/>
      <c r="VD14" s="301"/>
      <c r="VE14" s="301"/>
      <c r="VF14" s="301"/>
      <c r="VG14" s="301"/>
      <c r="VH14" s="301"/>
      <c r="VI14" s="301"/>
      <c r="VJ14" s="301"/>
      <c r="VK14" s="301"/>
      <c r="VL14" s="301"/>
      <c r="VM14" s="301"/>
      <c r="VN14" s="301"/>
      <c r="VO14" s="301"/>
      <c r="VP14" s="301"/>
      <c r="VQ14" s="301"/>
      <c r="VR14" s="301"/>
      <c r="VS14" s="301"/>
      <c r="VT14" s="301"/>
      <c r="VU14" s="301"/>
      <c r="VV14" s="301"/>
      <c r="VW14" s="301"/>
      <c r="VX14" s="301"/>
      <c r="VY14" s="301"/>
      <c r="VZ14" s="301"/>
      <c r="WA14" s="301"/>
      <c r="WB14" s="301"/>
      <c r="WC14" s="301"/>
      <c r="WD14" s="301"/>
      <c r="WE14" s="301"/>
      <c r="WF14" s="301"/>
      <c r="WG14" s="301"/>
      <c r="WH14" s="301"/>
      <c r="WI14" s="301"/>
      <c r="WJ14" s="301"/>
      <c r="WK14" s="301"/>
      <c r="WL14" s="301"/>
      <c r="WM14" s="301"/>
      <c r="WN14" s="301"/>
      <c r="WO14" s="301"/>
      <c r="WP14" s="301"/>
      <c r="WQ14" s="301"/>
      <c r="WR14" s="301"/>
      <c r="WS14" s="301"/>
      <c r="WT14" s="301"/>
      <c r="WU14" s="301"/>
      <c r="WV14" s="301"/>
      <c r="WW14" s="301"/>
      <c r="WX14" s="301"/>
      <c r="WY14" s="301"/>
      <c r="WZ14" s="301"/>
      <c r="XA14" s="301"/>
      <c r="XB14" s="301"/>
      <c r="XC14" s="301"/>
      <c r="XD14" s="301"/>
      <c r="XE14" s="301"/>
      <c r="XF14" s="301"/>
      <c r="XG14" s="301"/>
      <c r="XH14" s="301"/>
      <c r="XI14" s="301"/>
      <c r="XJ14" s="301"/>
      <c r="XK14" s="301"/>
      <c r="XL14" s="301"/>
      <c r="XM14" s="301"/>
      <c r="XN14" s="301"/>
      <c r="XO14" s="301"/>
      <c r="XP14" s="301"/>
      <c r="XQ14" s="301"/>
      <c r="XR14" s="301"/>
      <c r="XS14" s="301"/>
      <c r="XT14" s="301"/>
      <c r="XU14" s="301"/>
      <c r="XV14" s="301"/>
      <c r="XW14" s="301"/>
      <c r="XX14" s="301"/>
      <c r="XY14" s="301"/>
      <c r="XZ14" s="301"/>
      <c r="YA14" s="301"/>
      <c r="YB14" s="301"/>
      <c r="YC14" s="301"/>
      <c r="YD14" s="301"/>
      <c r="YE14" s="301"/>
      <c r="YF14" s="301"/>
      <c r="YG14" s="301"/>
      <c r="YH14" s="301"/>
      <c r="YI14" s="301"/>
      <c r="YJ14" s="301"/>
      <c r="YK14" s="301"/>
      <c r="YL14" s="301"/>
      <c r="YM14" s="301"/>
      <c r="YN14" s="301"/>
      <c r="YO14" s="301"/>
      <c r="YP14" s="301"/>
      <c r="YQ14" s="301"/>
      <c r="YR14" s="301"/>
      <c r="YS14" s="301"/>
      <c r="YT14" s="301"/>
      <c r="YU14" s="301"/>
      <c r="YV14" s="301"/>
      <c r="YW14" s="301"/>
      <c r="YX14" s="301"/>
      <c r="YY14" s="301"/>
      <c r="YZ14" s="301"/>
      <c r="ZA14" s="301"/>
      <c r="ZB14" s="301"/>
      <c r="ZC14" s="301"/>
      <c r="ZD14" s="301"/>
      <c r="ZE14" s="301"/>
      <c r="ZF14" s="301"/>
      <c r="ZG14" s="301"/>
      <c r="ZH14" s="301"/>
      <c r="ZI14" s="301"/>
      <c r="ZJ14" s="301"/>
      <c r="ZK14" s="301"/>
      <c r="ZL14" s="301"/>
      <c r="ZM14" s="301"/>
      <c r="ZN14" s="301"/>
      <c r="ZO14" s="301"/>
      <c r="ZP14" s="301"/>
      <c r="ZQ14" s="301"/>
      <c r="ZR14" s="301"/>
      <c r="ZS14" s="301"/>
      <c r="ZT14" s="301"/>
      <c r="ZU14" s="301"/>
      <c r="ZV14" s="301"/>
      <c r="ZW14" s="301"/>
      <c r="ZX14" s="301"/>
      <c r="ZY14" s="301"/>
      <c r="ZZ14" s="301"/>
      <c r="AAA14" s="301"/>
      <c r="AAB14" s="301"/>
      <c r="AAC14" s="301"/>
      <c r="AAD14" s="301"/>
      <c r="AAE14" s="301"/>
      <c r="AAF14" s="301"/>
      <c r="AAG14" s="301"/>
      <c r="AAH14" s="301"/>
      <c r="AAI14" s="301"/>
      <c r="AAJ14" s="301"/>
      <c r="AAK14" s="301"/>
      <c r="AAL14" s="301"/>
      <c r="AAM14" s="301"/>
      <c r="AAN14" s="301"/>
      <c r="AAO14" s="301"/>
      <c r="AAP14" s="301"/>
      <c r="AAQ14" s="301"/>
      <c r="AAR14" s="301"/>
      <c r="AAS14" s="301"/>
      <c r="AAT14" s="301"/>
      <c r="AAU14" s="301"/>
      <c r="AAV14" s="301"/>
      <c r="AAW14" s="301"/>
      <c r="AAX14" s="301"/>
      <c r="AAY14" s="301"/>
      <c r="AAZ14" s="301"/>
      <c r="ABA14" s="301"/>
      <c r="ABB14" s="301"/>
      <c r="ABC14" s="301"/>
      <c r="ABD14" s="301"/>
      <c r="ABE14" s="301"/>
      <c r="ABF14" s="301"/>
      <c r="ABG14" s="301"/>
      <c r="ABH14" s="301"/>
      <c r="ABI14" s="301"/>
      <c r="ABJ14" s="301"/>
      <c r="ABK14" s="301"/>
      <c r="ABL14" s="301"/>
      <c r="ABM14" s="301"/>
      <c r="ABN14" s="301"/>
      <c r="ABO14" s="301"/>
      <c r="ABP14" s="301"/>
      <c r="ABQ14" s="301"/>
      <c r="ABR14" s="301"/>
      <c r="ABS14" s="301"/>
      <c r="ABT14" s="301"/>
      <c r="ABU14" s="301"/>
      <c r="ABV14" s="301"/>
      <c r="ABW14" s="301"/>
      <c r="ABX14" s="301"/>
      <c r="ABY14" s="301"/>
      <c r="ABZ14" s="301"/>
      <c r="ACA14" s="301"/>
      <c r="ACB14" s="301"/>
      <c r="ACC14" s="301"/>
      <c r="ACD14" s="301"/>
      <c r="ACE14" s="301"/>
      <c r="ACF14" s="301"/>
      <c r="ACG14" s="301"/>
      <c r="ACH14" s="301"/>
      <c r="ACI14" s="301"/>
      <c r="ACJ14" s="301"/>
      <c r="ACK14" s="301"/>
      <c r="ACL14" s="301"/>
      <c r="ACM14" s="301"/>
      <c r="ACN14" s="301"/>
      <c r="ACO14" s="301"/>
      <c r="ACP14" s="301"/>
      <c r="ACQ14" s="301"/>
      <c r="ACR14" s="301"/>
      <c r="ACS14" s="301"/>
      <c r="ACT14" s="301"/>
      <c r="ACU14" s="301"/>
      <c r="ACV14" s="301"/>
      <c r="ACW14" s="301"/>
      <c r="ACX14" s="301"/>
      <c r="ACY14" s="301"/>
      <c r="ACZ14" s="301"/>
      <c r="ADA14" s="301"/>
      <c r="ADB14" s="301"/>
      <c r="ADC14" s="301"/>
      <c r="ADD14" s="301"/>
      <c r="ADE14" s="301"/>
      <c r="ADF14" s="301"/>
      <c r="ADG14" s="301"/>
      <c r="ADH14" s="301"/>
      <c r="ADI14" s="301"/>
      <c r="ADJ14" s="301"/>
      <c r="ADK14" s="301"/>
      <c r="ADL14" s="301"/>
      <c r="ADM14" s="301"/>
      <c r="ADN14" s="301"/>
      <c r="ADO14" s="301"/>
      <c r="ADP14" s="301"/>
      <c r="ADQ14" s="301"/>
      <c r="ADR14" s="301"/>
      <c r="ADS14" s="301"/>
      <c r="ADT14" s="301"/>
      <c r="ADU14" s="301"/>
      <c r="ADV14" s="301"/>
      <c r="ADW14" s="301"/>
      <c r="ADX14" s="301"/>
      <c r="ADY14" s="301"/>
      <c r="ADZ14" s="301"/>
      <c r="AEA14" s="301"/>
      <c r="AEB14" s="301"/>
      <c r="AEC14" s="301"/>
      <c r="AED14" s="301"/>
      <c r="AEE14" s="301"/>
      <c r="AEF14" s="301"/>
      <c r="AEG14" s="301"/>
      <c r="AEH14" s="301"/>
      <c r="AEI14" s="301"/>
      <c r="AEJ14" s="301"/>
      <c r="AEK14" s="301"/>
      <c r="AEL14" s="301"/>
      <c r="AEM14" s="301"/>
      <c r="AEN14" s="301"/>
      <c r="AEO14" s="301"/>
      <c r="AEP14" s="301"/>
      <c r="AEQ14" s="301"/>
      <c r="AER14" s="301"/>
      <c r="AES14" s="301"/>
      <c r="AET14" s="301"/>
      <c r="AEU14" s="301"/>
      <c r="AEV14" s="301"/>
      <c r="AEW14" s="301"/>
      <c r="AEX14" s="301"/>
      <c r="AEY14" s="301"/>
      <c r="AEZ14" s="301"/>
      <c r="AFA14" s="301"/>
      <c r="AFB14" s="301"/>
      <c r="AFC14" s="301"/>
      <c r="AFD14" s="301"/>
      <c r="AFE14" s="301"/>
      <c r="AFF14" s="301"/>
      <c r="AFG14" s="301"/>
      <c r="AFH14" s="301"/>
      <c r="AFI14" s="301"/>
      <c r="AFJ14" s="301"/>
      <c r="AFK14" s="301"/>
      <c r="AFL14" s="301"/>
      <c r="AFM14" s="301"/>
      <c r="AFN14" s="301"/>
      <c r="AFO14" s="301"/>
      <c r="AFP14" s="301"/>
      <c r="AFQ14" s="301"/>
      <c r="AFR14" s="301"/>
      <c r="AFS14" s="301"/>
      <c r="AFT14" s="301"/>
      <c r="AFU14" s="301"/>
      <c r="AFV14" s="301"/>
      <c r="AFW14" s="301"/>
      <c r="AFX14" s="301"/>
      <c r="AFY14" s="301"/>
      <c r="AFZ14" s="301"/>
      <c r="AGA14" s="301"/>
      <c r="AGB14" s="301"/>
      <c r="AGC14" s="301"/>
      <c r="AGD14" s="301"/>
      <c r="AGE14" s="301"/>
      <c r="AGF14" s="301"/>
      <c r="AGG14" s="301"/>
      <c r="AGH14" s="301"/>
      <c r="AGI14" s="301"/>
      <c r="AGJ14" s="301"/>
      <c r="AGK14" s="301"/>
      <c r="AGL14" s="301"/>
      <c r="AGM14" s="301"/>
      <c r="AGN14" s="301"/>
      <c r="AGO14" s="301"/>
      <c r="AGP14" s="301"/>
      <c r="AGQ14" s="301"/>
      <c r="AGR14" s="301"/>
      <c r="AGS14" s="301"/>
      <c r="AGT14" s="301"/>
      <c r="AGU14" s="301"/>
      <c r="AGV14" s="301"/>
      <c r="AGW14" s="301"/>
      <c r="AGX14" s="301"/>
      <c r="AGY14" s="301"/>
      <c r="AGZ14" s="301"/>
      <c r="AHA14" s="301"/>
      <c r="AHB14" s="301"/>
      <c r="AHC14" s="301"/>
      <c r="AHD14" s="301"/>
      <c r="AHE14" s="301"/>
      <c r="AHF14" s="301"/>
      <c r="AHG14" s="301"/>
      <c r="AHH14" s="301"/>
      <c r="AHI14" s="301"/>
      <c r="AHJ14" s="301"/>
      <c r="AHK14" s="301"/>
      <c r="AHL14" s="301"/>
      <c r="AHM14" s="301"/>
      <c r="AHN14" s="301"/>
      <c r="AHO14" s="301"/>
      <c r="AHP14" s="301"/>
      <c r="AHQ14" s="301"/>
      <c r="AHR14" s="301"/>
      <c r="AHS14" s="301"/>
      <c r="AHT14" s="301"/>
      <c r="AHU14" s="301"/>
      <c r="AHV14" s="301"/>
      <c r="AHW14" s="301"/>
      <c r="AHX14" s="301"/>
      <c r="AHY14" s="301"/>
      <c r="AHZ14" s="301"/>
      <c r="AIA14" s="301"/>
      <c r="AIB14" s="301"/>
      <c r="AIC14" s="301"/>
      <c r="AID14" s="301"/>
      <c r="AIE14" s="301"/>
      <c r="AIF14" s="301"/>
      <c r="AIG14" s="301"/>
      <c r="AIH14" s="301"/>
      <c r="AII14" s="301"/>
      <c r="AIJ14" s="301"/>
      <c r="AIK14" s="301"/>
      <c r="AIL14" s="301"/>
      <c r="AIM14" s="301"/>
      <c r="AIN14" s="301"/>
      <c r="AIO14" s="301"/>
      <c r="AIP14" s="301"/>
      <c r="AIQ14" s="301"/>
      <c r="AIR14" s="301"/>
      <c r="AIS14" s="301"/>
      <c r="AIT14" s="301"/>
      <c r="AIU14" s="301"/>
      <c r="AIV14" s="301"/>
      <c r="AIW14" s="301"/>
      <c r="AIX14" s="301"/>
      <c r="AIY14" s="301"/>
      <c r="AIZ14" s="301"/>
      <c r="AJA14" s="301"/>
      <c r="AJB14" s="301"/>
      <c r="AJC14" s="301"/>
      <c r="AJD14" s="301"/>
      <c r="AJE14" s="301"/>
      <c r="AJF14" s="301"/>
      <c r="AJG14" s="301"/>
      <c r="AJH14" s="301"/>
      <c r="AJI14" s="301"/>
      <c r="AJJ14" s="301"/>
      <c r="AJK14" s="301"/>
      <c r="AJL14" s="301"/>
      <c r="AJM14" s="301"/>
      <c r="AJN14" s="301"/>
      <c r="AJO14" s="301"/>
      <c r="AJP14" s="301"/>
      <c r="AJQ14" s="301"/>
      <c r="AJR14" s="301"/>
      <c r="AJS14" s="301"/>
      <c r="AJT14" s="301"/>
      <c r="AJU14" s="301"/>
      <c r="AJV14" s="301"/>
      <c r="AJW14" s="301"/>
      <c r="AJX14" s="301"/>
      <c r="AJY14" s="301"/>
      <c r="AJZ14" s="301"/>
      <c r="AKA14" s="301"/>
      <c r="AKB14" s="301"/>
      <c r="AKC14" s="301"/>
      <c r="AKD14" s="301"/>
      <c r="AKE14" s="301"/>
      <c r="AKF14" s="301"/>
      <c r="AKG14" s="301"/>
      <c r="AKH14" s="301"/>
      <c r="AKI14" s="301"/>
      <c r="AKJ14" s="301"/>
      <c r="AKK14" s="301"/>
      <c r="AKL14" s="301"/>
      <c r="AKM14" s="301"/>
      <c r="AKN14" s="301"/>
      <c r="AKO14" s="301"/>
      <c r="AKP14" s="301"/>
      <c r="AKQ14" s="301"/>
      <c r="AKR14" s="301"/>
      <c r="AKS14" s="301"/>
      <c r="AKT14" s="301"/>
      <c r="AKU14" s="301"/>
      <c r="AKV14" s="301"/>
      <c r="AKW14" s="301"/>
      <c r="AKX14" s="301"/>
      <c r="AKY14" s="301"/>
      <c r="AKZ14" s="301"/>
      <c r="ALA14" s="301"/>
      <c r="ALB14" s="301"/>
      <c r="ALC14" s="301"/>
      <c r="ALD14" s="301"/>
      <c r="ALE14" s="301"/>
      <c r="ALF14" s="301"/>
      <c r="ALG14" s="301"/>
      <c r="ALH14" s="301"/>
      <c r="ALI14" s="301"/>
      <c r="ALJ14" s="301"/>
      <c r="ALK14" s="301"/>
      <c r="ALL14" s="301"/>
      <c r="ALM14" s="301"/>
      <c r="ALN14" s="301"/>
      <c r="ALO14" s="301"/>
      <c r="ALP14" s="301"/>
      <c r="ALQ14" s="301"/>
      <c r="ALR14" s="301"/>
      <c r="ALS14" s="301"/>
      <c r="ALT14" s="301"/>
      <c r="ALU14" s="301"/>
      <c r="ALV14" s="301"/>
      <c r="ALW14" s="301"/>
      <c r="ALX14" s="301"/>
      <c r="ALY14" s="301"/>
      <c r="ALZ14" s="301"/>
      <c r="AMA14" s="301"/>
      <c r="AMB14" s="301"/>
      <c r="AMC14" s="301"/>
      <c r="AMD14" s="301"/>
      <c r="AME14" s="301"/>
      <c r="AMF14" s="301"/>
      <c r="AMG14" s="301"/>
      <c r="AMH14" s="301"/>
      <c r="AMI14" s="301"/>
      <c r="AMJ14" s="301"/>
    </row>
    <row r="15" customFormat="false" ht="12.8" hidden="false" customHeight="false" outlineLevel="0" collapsed="false">
      <c r="A15" s="299" t="s">
        <v>201</v>
      </c>
      <c r="B15" s="310"/>
      <c r="C15" s="311" t="str">
        <f aca="false">IF(B15&gt;0,1,"")</f>
        <v/>
      </c>
      <c r="D15" s="310"/>
      <c r="E15" s="311" t="str">
        <f aca="false">IF(D15&gt;0,1,"")</f>
        <v/>
      </c>
      <c r="F15" s="310"/>
      <c r="G15" s="311" t="str">
        <f aca="false">IF(F15&gt;0,1,"")</f>
        <v/>
      </c>
      <c r="H15" s="310"/>
      <c r="I15" s="311" t="str">
        <f aca="false">IF(H15&gt;0,1,"")</f>
        <v/>
      </c>
      <c r="J15" s="313" t="str">
        <f aca="false">IF(SUM(C15,E15,G15,I15)&gt;1,"ERROR",IF(B15&gt;=1,B15*52,IF(D15&gt;=1,D15*26,IF(F15&gt;=1,F15*12,IF(H15&gt;=1,H15*4,"")))))</f>
        <v/>
      </c>
      <c r="K15" s="301"/>
      <c r="L15" s="301"/>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c r="AJ15" s="301"/>
      <c r="AK15" s="301"/>
      <c r="AL15" s="301"/>
      <c r="AM15" s="301"/>
      <c r="AN15" s="301"/>
      <c r="AO15" s="301"/>
      <c r="AP15" s="301"/>
      <c r="AQ15" s="301"/>
      <c r="AR15" s="301"/>
      <c r="AS15" s="301"/>
      <c r="AT15" s="301"/>
      <c r="AU15" s="301"/>
      <c r="AV15" s="301"/>
      <c r="AW15" s="301"/>
      <c r="AX15" s="301"/>
      <c r="AY15" s="301"/>
      <c r="AZ15" s="301"/>
      <c r="BA15" s="301"/>
      <c r="BB15" s="301"/>
      <c r="BC15" s="301"/>
      <c r="BD15" s="301"/>
      <c r="BE15" s="301"/>
      <c r="BF15" s="301"/>
      <c r="BG15" s="301"/>
      <c r="BH15" s="301"/>
      <c r="BI15" s="301"/>
      <c r="BJ15" s="301"/>
      <c r="BK15" s="301"/>
      <c r="BL15" s="301"/>
      <c r="BM15" s="301"/>
      <c r="BN15" s="301"/>
      <c r="BO15" s="301"/>
      <c r="BP15" s="301"/>
      <c r="BQ15" s="301"/>
      <c r="BR15" s="301"/>
      <c r="BS15" s="301"/>
      <c r="BT15" s="301"/>
      <c r="BU15" s="301"/>
      <c r="BV15" s="301"/>
      <c r="BW15" s="301"/>
      <c r="BX15" s="301"/>
      <c r="BY15" s="301"/>
      <c r="BZ15" s="301"/>
      <c r="CA15" s="301"/>
      <c r="CB15" s="301"/>
      <c r="CC15" s="301"/>
      <c r="CD15" s="301"/>
      <c r="CE15" s="301"/>
      <c r="CF15" s="301"/>
      <c r="CG15" s="301"/>
      <c r="CH15" s="301"/>
      <c r="CI15" s="301"/>
      <c r="CJ15" s="301"/>
      <c r="CK15" s="301"/>
      <c r="CL15" s="301"/>
      <c r="CM15" s="301"/>
      <c r="CN15" s="301"/>
      <c r="CO15" s="301"/>
      <c r="CP15" s="301"/>
      <c r="CQ15" s="301"/>
      <c r="CR15" s="301"/>
      <c r="CS15" s="301"/>
      <c r="CT15" s="301"/>
      <c r="CU15" s="301"/>
      <c r="CV15" s="301"/>
      <c r="CW15" s="301"/>
      <c r="CX15" s="301"/>
      <c r="CY15" s="301"/>
      <c r="CZ15" s="301"/>
      <c r="DA15" s="301"/>
      <c r="DB15" s="301"/>
      <c r="DC15" s="301"/>
      <c r="DD15" s="301"/>
      <c r="DE15" s="301"/>
      <c r="DF15" s="301"/>
      <c r="DG15" s="301"/>
      <c r="DH15" s="301"/>
      <c r="DI15" s="301"/>
      <c r="DJ15" s="301"/>
      <c r="DK15" s="301"/>
      <c r="DL15" s="301"/>
      <c r="DM15" s="301"/>
      <c r="DN15" s="301"/>
      <c r="DO15" s="301"/>
      <c r="DP15" s="301"/>
      <c r="DQ15" s="301"/>
      <c r="DR15" s="301"/>
      <c r="DS15" s="301"/>
      <c r="DT15" s="301"/>
      <c r="DU15" s="301"/>
      <c r="DV15" s="301"/>
      <c r="DW15" s="301"/>
      <c r="DX15" s="301"/>
      <c r="DY15" s="301"/>
      <c r="DZ15" s="301"/>
      <c r="EA15" s="301"/>
      <c r="EB15" s="301"/>
      <c r="EC15" s="301"/>
      <c r="ED15" s="301"/>
      <c r="EE15" s="301"/>
      <c r="EF15" s="301"/>
      <c r="EG15" s="301"/>
      <c r="EH15" s="301"/>
      <c r="EI15" s="301"/>
      <c r="EJ15" s="301"/>
      <c r="EK15" s="301"/>
      <c r="EL15" s="301"/>
      <c r="EM15" s="301"/>
      <c r="EN15" s="301"/>
      <c r="EO15" s="301"/>
      <c r="EP15" s="301"/>
      <c r="EQ15" s="301"/>
      <c r="ER15" s="301"/>
      <c r="ES15" s="301"/>
      <c r="ET15" s="301"/>
      <c r="EU15" s="301"/>
      <c r="EV15" s="301"/>
      <c r="EW15" s="301"/>
      <c r="EX15" s="301"/>
      <c r="EY15" s="301"/>
      <c r="EZ15" s="301"/>
      <c r="FA15" s="301"/>
      <c r="FB15" s="301"/>
      <c r="FC15" s="301"/>
      <c r="FD15" s="301"/>
      <c r="FE15" s="301"/>
      <c r="FF15" s="301"/>
      <c r="FG15" s="301"/>
      <c r="FH15" s="301"/>
      <c r="FI15" s="301"/>
      <c r="FJ15" s="301"/>
      <c r="FK15" s="301"/>
      <c r="FL15" s="301"/>
      <c r="FM15" s="301"/>
      <c r="FN15" s="301"/>
      <c r="FO15" s="301"/>
      <c r="FP15" s="301"/>
      <c r="FQ15" s="301"/>
      <c r="FR15" s="301"/>
      <c r="FS15" s="301"/>
      <c r="FT15" s="301"/>
      <c r="FU15" s="301"/>
      <c r="FV15" s="301"/>
      <c r="FW15" s="301"/>
      <c r="FX15" s="301"/>
      <c r="FY15" s="301"/>
      <c r="FZ15" s="301"/>
      <c r="GA15" s="301"/>
      <c r="GB15" s="301"/>
      <c r="GC15" s="301"/>
      <c r="GD15" s="301"/>
      <c r="GE15" s="301"/>
      <c r="GF15" s="301"/>
      <c r="GG15" s="301"/>
      <c r="GH15" s="301"/>
      <c r="GI15" s="301"/>
      <c r="GJ15" s="301"/>
      <c r="GK15" s="301"/>
      <c r="GL15" s="301"/>
      <c r="GM15" s="301"/>
      <c r="GN15" s="301"/>
      <c r="GO15" s="301"/>
      <c r="GP15" s="301"/>
      <c r="GQ15" s="301"/>
      <c r="GR15" s="301"/>
      <c r="GS15" s="301"/>
      <c r="GT15" s="301"/>
      <c r="GU15" s="301"/>
      <c r="GV15" s="301"/>
      <c r="GW15" s="301"/>
      <c r="GX15" s="301"/>
      <c r="GY15" s="301"/>
      <c r="GZ15" s="301"/>
      <c r="HA15" s="301"/>
      <c r="HB15" s="301"/>
      <c r="HC15" s="301"/>
      <c r="HD15" s="301"/>
      <c r="HE15" s="301"/>
      <c r="HF15" s="301"/>
      <c r="HG15" s="301"/>
      <c r="HH15" s="301"/>
      <c r="HI15" s="301"/>
      <c r="HJ15" s="301"/>
      <c r="HK15" s="301"/>
      <c r="HL15" s="301"/>
      <c r="HM15" s="301"/>
      <c r="HN15" s="301"/>
      <c r="HO15" s="301"/>
      <c r="HP15" s="301"/>
      <c r="HQ15" s="301"/>
      <c r="HR15" s="301"/>
      <c r="HS15" s="301"/>
      <c r="HT15" s="301"/>
      <c r="HU15" s="301"/>
      <c r="HV15" s="301"/>
      <c r="HW15" s="301"/>
      <c r="HX15" s="301"/>
      <c r="HY15" s="301"/>
      <c r="HZ15" s="301"/>
      <c r="IA15" s="301"/>
      <c r="IB15" s="301"/>
      <c r="IC15" s="301"/>
      <c r="ID15" s="301"/>
      <c r="IE15" s="301"/>
      <c r="IF15" s="301"/>
      <c r="IG15" s="301"/>
      <c r="IH15" s="301"/>
      <c r="II15" s="301"/>
      <c r="IJ15" s="301"/>
      <c r="IK15" s="301"/>
      <c r="IL15" s="301"/>
      <c r="IM15" s="301"/>
      <c r="IN15" s="301"/>
      <c r="IO15" s="301"/>
      <c r="IP15" s="301"/>
      <c r="IQ15" s="301"/>
      <c r="IR15" s="301"/>
      <c r="IS15" s="301"/>
      <c r="IT15" s="301"/>
      <c r="IU15" s="301"/>
      <c r="IV15" s="301"/>
      <c r="IW15" s="301"/>
      <c r="IX15" s="301"/>
      <c r="IY15" s="301"/>
      <c r="IZ15" s="301"/>
      <c r="JA15" s="301"/>
      <c r="JB15" s="301"/>
      <c r="JC15" s="301"/>
      <c r="JD15" s="301"/>
      <c r="JE15" s="301"/>
      <c r="JF15" s="301"/>
      <c r="JG15" s="301"/>
      <c r="JH15" s="301"/>
      <c r="JI15" s="301"/>
      <c r="JJ15" s="301"/>
      <c r="JK15" s="301"/>
      <c r="JL15" s="301"/>
      <c r="JM15" s="301"/>
      <c r="JN15" s="301"/>
      <c r="JO15" s="301"/>
      <c r="JP15" s="301"/>
      <c r="JQ15" s="301"/>
      <c r="JR15" s="301"/>
      <c r="JS15" s="301"/>
      <c r="JT15" s="301"/>
      <c r="JU15" s="301"/>
      <c r="JV15" s="301"/>
      <c r="JW15" s="301"/>
      <c r="JX15" s="301"/>
      <c r="JY15" s="301"/>
      <c r="JZ15" s="301"/>
      <c r="KA15" s="301"/>
      <c r="KB15" s="301"/>
      <c r="KC15" s="301"/>
      <c r="KD15" s="301"/>
      <c r="KE15" s="301"/>
      <c r="KF15" s="301"/>
      <c r="KG15" s="301"/>
      <c r="KH15" s="301"/>
      <c r="KI15" s="301"/>
      <c r="KJ15" s="301"/>
      <c r="KK15" s="301"/>
      <c r="KL15" s="301"/>
      <c r="KM15" s="301"/>
      <c r="KN15" s="301"/>
      <c r="KO15" s="301"/>
      <c r="KP15" s="301"/>
      <c r="KQ15" s="301"/>
      <c r="KR15" s="301"/>
      <c r="KS15" s="301"/>
      <c r="KT15" s="301"/>
      <c r="KU15" s="301"/>
      <c r="KV15" s="301"/>
      <c r="KW15" s="301"/>
      <c r="KX15" s="301"/>
      <c r="KY15" s="301"/>
      <c r="KZ15" s="301"/>
      <c r="LA15" s="301"/>
      <c r="LB15" s="301"/>
      <c r="LC15" s="301"/>
      <c r="LD15" s="301"/>
      <c r="LE15" s="301"/>
      <c r="LF15" s="301"/>
      <c r="LG15" s="301"/>
      <c r="LH15" s="301"/>
      <c r="LI15" s="301"/>
      <c r="LJ15" s="301"/>
      <c r="LK15" s="301"/>
      <c r="LL15" s="301"/>
      <c r="LM15" s="301"/>
      <c r="LN15" s="301"/>
      <c r="LO15" s="301"/>
      <c r="LP15" s="301"/>
      <c r="LQ15" s="301"/>
      <c r="LR15" s="301"/>
      <c r="LS15" s="301"/>
      <c r="LT15" s="301"/>
      <c r="LU15" s="301"/>
      <c r="LV15" s="301"/>
      <c r="LW15" s="301"/>
      <c r="LX15" s="301"/>
      <c r="LY15" s="301"/>
      <c r="LZ15" s="301"/>
      <c r="MA15" s="301"/>
      <c r="MB15" s="301"/>
      <c r="MC15" s="301"/>
      <c r="MD15" s="301"/>
      <c r="ME15" s="301"/>
      <c r="MF15" s="301"/>
      <c r="MG15" s="301"/>
      <c r="MH15" s="301"/>
      <c r="MI15" s="301"/>
      <c r="MJ15" s="301"/>
      <c r="MK15" s="301"/>
      <c r="ML15" s="301"/>
      <c r="MM15" s="301"/>
      <c r="MN15" s="301"/>
      <c r="MO15" s="301"/>
      <c r="MP15" s="301"/>
      <c r="MQ15" s="301"/>
      <c r="MR15" s="301"/>
      <c r="MS15" s="301"/>
      <c r="MT15" s="301"/>
      <c r="MU15" s="301"/>
      <c r="MV15" s="301"/>
      <c r="MW15" s="301"/>
      <c r="MX15" s="301"/>
      <c r="MY15" s="301"/>
      <c r="MZ15" s="301"/>
      <c r="NA15" s="301"/>
      <c r="NB15" s="301"/>
      <c r="NC15" s="301"/>
      <c r="ND15" s="301"/>
      <c r="NE15" s="301"/>
      <c r="NF15" s="301"/>
      <c r="NG15" s="301"/>
      <c r="NH15" s="301"/>
      <c r="NI15" s="301"/>
      <c r="NJ15" s="301"/>
      <c r="NK15" s="301"/>
      <c r="NL15" s="301"/>
      <c r="NM15" s="301"/>
      <c r="NN15" s="301"/>
      <c r="NO15" s="301"/>
      <c r="NP15" s="301"/>
      <c r="NQ15" s="301"/>
      <c r="NR15" s="301"/>
      <c r="NS15" s="301"/>
      <c r="NT15" s="301"/>
      <c r="NU15" s="301"/>
      <c r="NV15" s="301"/>
      <c r="NW15" s="301"/>
      <c r="NX15" s="301"/>
      <c r="NY15" s="301"/>
      <c r="NZ15" s="301"/>
      <c r="OA15" s="301"/>
      <c r="OB15" s="301"/>
      <c r="OC15" s="301"/>
      <c r="OD15" s="301"/>
      <c r="OE15" s="301"/>
      <c r="OF15" s="301"/>
      <c r="OG15" s="301"/>
      <c r="OH15" s="301"/>
      <c r="OI15" s="301"/>
      <c r="OJ15" s="301"/>
      <c r="OK15" s="301"/>
      <c r="OL15" s="301"/>
      <c r="OM15" s="301"/>
      <c r="ON15" s="301"/>
      <c r="OO15" s="301"/>
      <c r="OP15" s="301"/>
      <c r="OQ15" s="301"/>
      <c r="OR15" s="301"/>
      <c r="OS15" s="301"/>
      <c r="OT15" s="301"/>
      <c r="OU15" s="301"/>
      <c r="OV15" s="301"/>
      <c r="OW15" s="301"/>
      <c r="OX15" s="301"/>
      <c r="OY15" s="301"/>
      <c r="OZ15" s="301"/>
      <c r="PA15" s="301"/>
      <c r="PB15" s="301"/>
      <c r="PC15" s="301"/>
      <c r="PD15" s="301"/>
      <c r="PE15" s="301"/>
      <c r="PF15" s="301"/>
      <c r="PG15" s="301"/>
      <c r="PH15" s="301"/>
      <c r="PI15" s="301"/>
      <c r="PJ15" s="301"/>
      <c r="PK15" s="301"/>
      <c r="PL15" s="301"/>
      <c r="PM15" s="301"/>
      <c r="PN15" s="301"/>
      <c r="PO15" s="301"/>
      <c r="PP15" s="301"/>
      <c r="PQ15" s="301"/>
      <c r="PR15" s="301"/>
      <c r="PS15" s="301"/>
      <c r="PT15" s="301"/>
      <c r="PU15" s="301"/>
      <c r="PV15" s="301"/>
      <c r="PW15" s="301"/>
      <c r="PX15" s="301"/>
      <c r="PY15" s="301"/>
      <c r="PZ15" s="301"/>
      <c r="QA15" s="301"/>
      <c r="QB15" s="301"/>
      <c r="QC15" s="301"/>
      <c r="QD15" s="301"/>
      <c r="QE15" s="301"/>
      <c r="QF15" s="301"/>
      <c r="QG15" s="301"/>
      <c r="QH15" s="301"/>
      <c r="QI15" s="301"/>
      <c r="QJ15" s="301"/>
      <c r="QK15" s="301"/>
      <c r="QL15" s="301"/>
      <c r="QM15" s="301"/>
      <c r="QN15" s="301"/>
      <c r="QO15" s="301"/>
      <c r="QP15" s="301"/>
      <c r="QQ15" s="301"/>
      <c r="QR15" s="301"/>
      <c r="QS15" s="301"/>
      <c r="QT15" s="301"/>
      <c r="QU15" s="301"/>
      <c r="QV15" s="301"/>
      <c r="QW15" s="301"/>
      <c r="QX15" s="301"/>
      <c r="QY15" s="301"/>
      <c r="QZ15" s="301"/>
      <c r="RA15" s="301"/>
      <c r="RB15" s="301"/>
      <c r="RC15" s="301"/>
      <c r="RD15" s="301"/>
      <c r="RE15" s="301"/>
      <c r="RF15" s="301"/>
      <c r="RG15" s="301"/>
      <c r="RH15" s="301"/>
      <c r="RI15" s="301"/>
      <c r="RJ15" s="301"/>
      <c r="RK15" s="301"/>
      <c r="RL15" s="301"/>
      <c r="RM15" s="301"/>
      <c r="RN15" s="301"/>
      <c r="RO15" s="301"/>
      <c r="RP15" s="301"/>
      <c r="RQ15" s="301"/>
      <c r="RR15" s="301"/>
      <c r="RS15" s="301"/>
      <c r="RT15" s="301"/>
      <c r="RU15" s="301"/>
      <c r="RV15" s="301"/>
      <c r="RW15" s="301"/>
      <c r="RX15" s="301"/>
      <c r="RY15" s="301"/>
      <c r="RZ15" s="301"/>
      <c r="SA15" s="301"/>
      <c r="SB15" s="301"/>
      <c r="SC15" s="301"/>
      <c r="SD15" s="301"/>
      <c r="SE15" s="301"/>
      <c r="SF15" s="301"/>
      <c r="SG15" s="301"/>
      <c r="SH15" s="301"/>
      <c r="SI15" s="301"/>
      <c r="SJ15" s="301"/>
      <c r="SK15" s="301"/>
      <c r="SL15" s="301"/>
      <c r="SM15" s="301"/>
      <c r="SN15" s="301"/>
      <c r="SO15" s="301"/>
      <c r="SP15" s="301"/>
      <c r="SQ15" s="301"/>
      <c r="SR15" s="301"/>
      <c r="SS15" s="301"/>
      <c r="ST15" s="301"/>
      <c r="SU15" s="301"/>
      <c r="SV15" s="301"/>
      <c r="SW15" s="301"/>
      <c r="SX15" s="301"/>
      <c r="SY15" s="301"/>
      <c r="SZ15" s="301"/>
      <c r="TA15" s="301"/>
      <c r="TB15" s="301"/>
      <c r="TC15" s="301"/>
      <c r="TD15" s="301"/>
      <c r="TE15" s="301"/>
      <c r="TF15" s="301"/>
      <c r="TG15" s="301"/>
      <c r="TH15" s="301"/>
      <c r="TI15" s="301"/>
      <c r="TJ15" s="301"/>
      <c r="TK15" s="301"/>
      <c r="TL15" s="301"/>
      <c r="TM15" s="301"/>
      <c r="TN15" s="301"/>
      <c r="TO15" s="301"/>
      <c r="TP15" s="301"/>
      <c r="TQ15" s="301"/>
      <c r="TR15" s="301"/>
      <c r="TS15" s="301"/>
      <c r="TT15" s="301"/>
      <c r="TU15" s="301"/>
      <c r="TV15" s="301"/>
      <c r="TW15" s="301"/>
      <c r="TX15" s="301"/>
      <c r="TY15" s="301"/>
      <c r="TZ15" s="301"/>
      <c r="UA15" s="301"/>
      <c r="UB15" s="301"/>
      <c r="UC15" s="301"/>
      <c r="UD15" s="301"/>
      <c r="UE15" s="301"/>
      <c r="UF15" s="301"/>
      <c r="UG15" s="301"/>
      <c r="UH15" s="301"/>
      <c r="UI15" s="301"/>
      <c r="UJ15" s="301"/>
      <c r="UK15" s="301"/>
      <c r="UL15" s="301"/>
      <c r="UM15" s="301"/>
      <c r="UN15" s="301"/>
      <c r="UO15" s="301"/>
      <c r="UP15" s="301"/>
      <c r="UQ15" s="301"/>
      <c r="UR15" s="301"/>
      <c r="US15" s="301"/>
      <c r="UT15" s="301"/>
      <c r="UU15" s="301"/>
      <c r="UV15" s="301"/>
      <c r="UW15" s="301"/>
      <c r="UX15" s="301"/>
      <c r="UY15" s="301"/>
      <c r="UZ15" s="301"/>
      <c r="VA15" s="301"/>
      <c r="VB15" s="301"/>
      <c r="VC15" s="301"/>
      <c r="VD15" s="301"/>
      <c r="VE15" s="301"/>
      <c r="VF15" s="301"/>
      <c r="VG15" s="301"/>
      <c r="VH15" s="301"/>
      <c r="VI15" s="301"/>
      <c r="VJ15" s="301"/>
      <c r="VK15" s="301"/>
      <c r="VL15" s="301"/>
      <c r="VM15" s="301"/>
      <c r="VN15" s="301"/>
      <c r="VO15" s="301"/>
      <c r="VP15" s="301"/>
      <c r="VQ15" s="301"/>
      <c r="VR15" s="301"/>
      <c r="VS15" s="301"/>
      <c r="VT15" s="301"/>
      <c r="VU15" s="301"/>
      <c r="VV15" s="301"/>
      <c r="VW15" s="301"/>
      <c r="VX15" s="301"/>
      <c r="VY15" s="301"/>
      <c r="VZ15" s="301"/>
      <c r="WA15" s="301"/>
      <c r="WB15" s="301"/>
      <c r="WC15" s="301"/>
      <c r="WD15" s="301"/>
      <c r="WE15" s="301"/>
      <c r="WF15" s="301"/>
      <c r="WG15" s="301"/>
      <c r="WH15" s="301"/>
      <c r="WI15" s="301"/>
      <c r="WJ15" s="301"/>
      <c r="WK15" s="301"/>
      <c r="WL15" s="301"/>
      <c r="WM15" s="301"/>
      <c r="WN15" s="301"/>
      <c r="WO15" s="301"/>
      <c r="WP15" s="301"/>
      <c r="WQ15" s="301"/>
      <c r="WR15" s="301"/>
      <c r="WS15" s="301"/>
      <c r="WT15" s="301"/>
      <c r="WU15" s="301"/>
      <c r="WV15" s="301"/>
      <c r="WW15" s="301"/>
      <c r="WX15" s="301"/>
      <c r="WY15" s="301"/>
      <c r="WZ15" s="301"/>
      <c r="XA15" s="301"/>
      <c r="XB15" s="301"/>
      <c r="XC15" s="301"/>
      <c r="XD15" s="301"/>
      <c r="XE15" s="301"/>
      <c r="XF15" s="301"/>
      <c r="XG15" s="301"/>
      <c r="XH15" s="301"/>
      <c r="XI15" s="301"/>
      <c r="XJ15" s="301"/>
      <c r="XK15" s="301"/>
      <c r="XL15" s="301"/>
      <c r="XM15" s="301"/>
      <c r="XN15" s="301"/>
      <c r="XO15" s="301"/>
      <c r="XP15" s="301"/>
      <c r="XQ15" s="301"/>
      <c r="XR15" s="301"/>
      <c r="XS15" s="301"/>
      <c r="XT15" s="301"/>
      <c r="XU15" s="301"/>
      <c r="XV15" s="301"/>
      <c r="XW15" s="301"/>
      <c r="XX15" s="301"/>
      <c r="XY15" s="301"/>
      <c r="XZ15" s="301"/>
      <c r="YA15" s="301"/>
      <c r="YB15" s="301"/>
      <c r="YC15" s="301"/>
      <c r="YD15" s="301"/>
      <c r="YE15" s="301"/>
      <c r="YF15" s="301"/>
      <c r="YG15" s="301"/>
      <c r="YH15" s="301"/>
      <c r="YI15" s="301"/>
      <c r="YJ15" s="301"/>
      <c r="YK15" s="301"/>
      <c r="YL15" s="301"/>
      <c r="YM15" s="301"/>
      <c r="YN15" s="301"/>
      <c r="YO15" s="301"/>
      <c r="YP15" s="301"/>
      <c r="YQ15" s="301"/>
      <c r="YR15" s="301"/>
      <c r="YS15" s="301"/>
      <c r="YT15" s="301"/>
      <c r="YU15" s="301"/>
      <c r="YV15" s="301"/>
      <c r="YW15" s="301"/>
      <c r="YX15" s="301"/>
      <c r="YY15" s="301"/>
      <c r="YZ15" s="301"/>
      <c r="ZA15" s="301"/>
      <c r="ZB15" s="301"/>
      <c r="ZC15" s="301"/>
      <c r="ZD15" s="301"/>
      <c r="ZE15" s="301"/>
      <c r="ZF15" s="301"/>
      <c r="ZG15" s="301"/>
      <c r="ZH15" s="301"/>
      <c r="ZI15" s="301"/>
      <c r="ZJ15" s="301"/>
      <c r="ZK15" s="301"/>
      <c r="ZL15" s="301"/>
      <c r="ZM15" s="301"/>
      <c r="ZN15" s="301"/>
      <c r="ZO15" s="301"/>
      <c r="ZP15" s="301"/>
      <c r="ZQ15" s="301"/>
      <c r="ZR15" s="301"/>
      <c r="ZS15" s="301"/>
      <c r="ZT15" s="301"/>
      <c r="ZU15" s="301"/>
      <c r="ZV15" s="301"/>
      <c r="ZW15" s="301"/>
      <c r="ZX15" s="301"/>
      <c r="ZY15" s="301"/>
      <c r="ZZ15" s="301"/>
      <c r="AAA15" s="301"/>
      <c r="AAB15" s="301"/>
      <c r="AAC15" s="301"/>
      <c r="AAD15" s="301"/>
      <c r="AAE15" s="301"/>
      <c r="AAF15" s="301"/>
      <c r="AAG15" s="301"/>
      <c r="AAH15" s="301"/>
      <c r="AAI15" s="301"/>
      <c r="AAJ15" s="301"/>
      <c r="AAK15" s="301"/>
      <c r="AAL15" s="301"/>
      <c r="AAM15" s="301"/>
      <c r="AAN15" s="301"/>
      <c r="AAO15" s="301"/>
      <c r="AAP15" s="301"/>
      <c r="AAQ15" s="301"/>
      <c r="AAR15" s="301"/>
      <c r="AAS15" s="301"/>
      <c r="AAT15" s="301"/>
      <c r="AAU15" s="301"/>
      <c r="AAV15" s="301"/>
      <c r="AAW15" s="301"/>
      <c r="AAX15" s="301"/>
      <c r="AAY15" s="301"/>
      <c r="AAZ15" s="301"/>
      <c r="ABA15" s="301"/>
      <c r="ABB15" s="301"/>
      <c r="ABC15" s="301"/>
      <c r="ABD15" s="301"/>
      <c r="ABE15" s="301"/>
      <c r="ABF15" s="301"/>
      <c r="ABG15" s="301"/>
      <c r="ABH15" s="301"/>
      <c r="ABI15" s="301"/>
      <c r="ABJ15" s="301"/>
      <c r="ABK15" s="301"/>
      <c r="ABL15" s="301"/>
      <c r="ABM15" s="301"/>
      <c r="ABN15" s="301"/>
      <c r="ABO15" s="301"/>
      <c r="ABP15" s="301"/>
      <c r="ABQ15" s="301"/>
      <c r="ABR15" s="301"/>
      <c r="ABS15" s="301"/>
      <c r="ABT15" s="301"/>
      <c r="ABU15" s="301"/>
      <c r="ABV15" s="301"/>
      <c r="ABW15" s="301"/>
      <c r="ABX15" s="301"/>
      <c r="ABY15" s="301"/>
      <c r="ABZ15" s="301"/>
      <c r="ACA15" s="301"/>
      <c r="ACB15" s="301"/>
      <c r="ACC15" s="301"/>
      <c r="ACD15" s="301"/>
      <c r="ACE15" s="301"/>
      <c r="ACF15" s="301"/>
      <c r="ACG15" s="301"/>
      <c r="ACH15" s="301"/>
      <c r="ACI15" s="301"/>
      <c r="ACJ15" s="301"/>
      <c r="ACK15" s="301"/>
      <c r="ACL15" s="301"/>
      <c r="ACM15" s="301"/>
      <c r="ACN15" s="301"/>
      <c r="ACO15" s="301"/>
      <c r="ACP15" s="301"/>
      <c r="ACQ15" s="301"/>
      <c r="ACR15" s="301"/>
      <c r="ACS15" s="301"/>
      <c r="ACT15" s="301"/>
      <c r="ACU15" s="301"/>
      <c r="ACV15" s="301"/>
      <c r="ACW15" s="301"/>
      <c r="ACX15" s="301"/>
      <c r="ACY15" s="301"/>
      <c r="ACZ15" s="301"/>
      <c r="ADA15" s="301"/>
      <c r="ADB15" s="301"/>
      <c r="ADC15" s="301"/>
      <c r="ADD15" s="301"/>
      <c r="ADE15" s="301"/>
      <c r="ADF15" s="301"/>
      <c r="ADG15" s="301"/>
      <c r="ADH15" s="301"/>
      <c r="ADI15" s="301"/>
      <c r="ADJ15" s="301"/>
      <c r="ADK15" s="301"/>
      <c r="ADL15" s="301"/>
      <c r="ADM15" s="301"/>
      <c r="ADN15" s="301"/>
      <c r="ADO15" s="301"/>
      <c r="ADP15" s="301"/>
      <c r="ADQ15" s="301"/>
      <c r="ADR15" s="301"/>
      <c r="ADS15" s="301"/>
      <c r="ADT15" s="301"/>
      <c r="ADU15" s="301"/>
      <c r="ADV15" s="301"/>
      <c r="ADW15" s="301"/>
      <c r="ADX15" s="301"/>
      <c r="ADY15" s="301"/>
      <c r="ADZ15" s="301"/>
      <c r="AEA15" s="301"/>
      <c r="AEB15" s="301"/>
      <c r="AEC15" s="301"/>
      <c r="AED15" s="301"/>
      <c r="AEE15" s="301"/>
      <c r="AEF15" s="301"/>
      <c r="AEG15" s="301"/>
      <c r="AEH15" s="301"/>
      <c r="AEI15" s="301"/>
      <c r="AEJ15" s="301"/>
      <c r="AEK15" s="301"/>
      <c r="AEL15" s="301"/>
      <c r="AEM15" s="301"/>
      <c r="AEN15" s="301"/>
      <c r="AEO15" s="301"/>
      <c r="AEP15" s="301"/>
      <c r="AEQ15" s="301"/>
      <c r="AER15" s="301"/>
      <c r="AES15" s="301"/>
      <c r="AET15" s="301"/>
      <c r="AEU15" s="301"/>
      <c r="AEV15" s="301"/>
      <c r="AEW15" s="301"/>
      <c r="AEX15" s="301"/>
      <c r="AEY15" s="301"/>
      <c r="AEZ15" s="301"/>
      <c r="AFA15" s="301"/>
      <c r="AFB15" s="301"/>
      <c r="AFC15" s="301"/>
      <c r="AFD15" s="301"/>
      <c r="AFE15" s="301"/>
      <c r="AFF15" s="301"/>
      <c r="AFG15" s="301"/>
      <c r="AFH15" s="301"/>
      <c r="AFI15" s="301"/>
      <c r="AFJ15" s="301"/>
      <c r="AFK15" s="301"/>
      <c r="AFL15" s="301"/>
      <c r="AFM15" s="301"/>
      <c r="AFN15" s="301"/>
      <c r="AFO15" s="301"/>
      <c r="AFP15" s="301"/>
      <c r="AFQ15" s="301"/>
      <c r="AFR15" s="301"/>
      <c r="AFS15" s="301"/>
      <c r="AFT15" s="301"/>
      <c r="AFU15" s="301"/>
      <c r="AFV15" s="301"/>
      <c r="AFW15" s="301"/>
      <c r="AFX15" s="301"/>
      <c r="AFY15" s="301"/>
      <c r="AFZ15" s="301"/>
      <c r="AGA15" s="301"/>
      <c r="AGB15" s="301"/>
      <c r="AGC15" s="301"/>
      <c r="AGD15" s="301"/>
      <c r="AGE15" s="301"/>
      <c r="AGF15" s="301"/>
      <c r="AGG15" s="301"/>
      <c r="AGH15" s="301"/>
      <c r="AGI15" s="301"/>
      <c r="AGJ15" s="301"/>
      <c r="AGK15" s="301"/>
      <c r="AGL15" s="301"/>
      <c r="AGM15" s="301"/>
      <c r="AGN15" s="301"/>
      <c r="AGO15" s="301"/>
      <c r="AGP15" s="301"/>
      <c r="AGQ15" s="301"/>
      <c r="AGR15" s="301"/>
      <c r="AGS15" s="301"/>
      <c r="AGT15" s="301"/>
      <c r="AGU15" s="301"/>
      <c r="AGV15" s="301"/>
      <c r="AGW15" s="301"/>
      <c r="AGX15" s="301"/>
      <c r="AGY15" s="301"/>
      <c r="AGZ15" s="301"/>
      <c r="AHA15" s="301"/>
      <c r="AHB15" s="301"/>
      <c r="AHC15" s="301"/>
      <c r="AHD15" s="301"/>
      <c r="AHE15" s="301"/>
      <c r="AHF15" s="301"/>
      <c r="AHG15" s="301"/>
      <c r="AHH15" s="301"/>
      <c r="AHI15" s="301"/>
      <c r="AHJ15" s="301"/>
      <c r="AHK15" s="301"/>
      <c r="AHL15" s="301"/>
      <c r="AHM15" s="301"/>
      <c r="AHN15" s="301"/>
      <c r="AHO15" s="301"/>
      <c r="AHP15" s="301"/>
      <c r="AHQ15" s="301"/>
      <c r="AHR15" s="301"/>
      <c r="AHS15" s="301"/>
      <c r="AHT15" s="301"/>
      <c r="AHU15" s="301"/>
      <c r="AHV15" s="301"/>
      <c r="AHW15" s="301"/>
      <c r="AHX15" s="301"/>
      <c r="AHY15" s="301"/>
      <c r="AHZ15" s="301"/>
      <c r="AIA15" s="301"/>
      <c r="AIB15" s="301"/>
      <c r="AIC15" s="301"/>
      <c r="AID15" s="301"/>
      <c r="AIE15" s="301"/>
      <c r="AIF15" s="301"/>
      <c r="AIG15" s="301"/>
      <c r="AIH15" s="301"/>
      <c r="AII15" s="301"/>
      <c r="AIJ15" s="301"/>
      <c r="AIK15" s="301"/>
      <c r="AIL15" s="301"/>
      <c r="AIM15" s="301"/>
      <c r="AIN15" s="301"/>
      <c r="AIO15" s="301"/>
      <c r="AIP15" s="301"/>
      <c r="AIQ15" s="301"/>
      <c r="AIR15" s="301"/>
      <c r="AIS15" s="301"/>
      <c r="AIT15" s="301"/>
      <c r="AIU15" s="301"/>
      <c r="AIV15" s="301"/>
      <c r="AIW15" s="301"/>
      <c r="AIX15" s="301"/>
      <c r="AIY15" s="301"/>
      <c r="AIZ15" s="301"/>
      <c r="AJA15" s="301"/>
      <c r="AJB15" s="301"/>
      <c r="AJC15" s="301"/>
      <c r="AJD15" s="301"/>
      <c r="AJE15" s="301"/>
      <c r="AJF15" s="301"/>
      <c r="AJG15" s="301"/>
      <c r="AJH15" s="301"/>
      <c r="AJI15" s="301"/>
      <c r="AJJ15" s="301"/>
      <c r="AJK15" s="301"/>
      <c r="AJL15" s="301"/>
      <c r="AJM15" s="301"/>
      <c r="AJN15" s="301"/>
      <c r="AJO15" s="301"/>
      <c r="AJP15" s="301"/>
      <c r="AJQ15" s="301"/>
      <c r="AJR15" s="301"/>
      <c r="AJS15" s="301"/>
      <c r="AJT15" s="301"/>
      <c r="AJU15" s="301"/>
      <c r="AJV15" s="301"/>
      <c r="AJW15" s="301"/>
      <c r="AJX15" s="301"/>
      <c r="AJY15" s="301"/>
      <c r="AJZ15" s="301"/>
      <c r="AKA15" s="301"/>
      <c r="AKB15" s="301"/>
      <c r="AKC15" s="301"/>
      <c r="AKD15" s="301"/>
      <c r="AKE15" s="301"/>
      <c r="AKF15" s="301"/>
      <c r="AKG15" s="301"/>
      <c r="AKH15" s="301"/>
      <c r="AKI15" s="301"/>
      <c r="AKJ15" s="301"/>
      <c r="AKK15" s="301"/>
      <c r="AKL15" s="301"/>
      <c r="AKM15" s="301"/>
      <c r="AKN15" s="301"/>
      <c r="AKO15" s="301"/>
      <c r="AKP15" s="301"/>
      <c r="AKQ15" s="301"/>
      <c r="AKR15" s="301"/>
      <c r="AKS15" s="301"/>
      <c r="AKT15" s="301"/>
      <c r="AKU15" s="301"/>
      <c r="AKV15" s="301"/>
      <c r="AKW15" s="301"/>
      <c r="AKX15" s="301"/>
      <c r="AKY15" s="301"/>
      <c r="AKZ15" s="301"/>
      <c r="ALA15" s="301"/>
      <c r="ALB15" s="301"/>
      <c r="ALC15" s="301"/>
      <c r="ALD15" s="301"/>
      <c r="ALE15" s="301"/>
      <c r="ALF15" s="301"/>
      <c r="ALG15" s="301"/>
      <c r="ALH15" s="301"/>
      <c r="ALI15" s="301"/>
      <c r="ALJ15" s="301"/>
      <c r="ALK15" s="301"/>
      <c r="ALL15" s="301"/>
      <c r="ALM15" s="301"/>
      <c r="ALN15" s="301"/>
      <c r="ALO15" s="301"/>
      <c r="ALP15" s="301"/>
      <c r="ALQ15" s="301"/>
      <c r="ALR15" s="301"/>
      <c r="ALS15" s="301"/>
      <c r="ALT15" s="301"/>
      <c r="ALU15" s="301"/>
      <c r="ALV15" s="301"/>
      <c r="ALW15" s="301"/>
      <c r="ALX15" s="301"/>
      <c r="ALY15" s="301"/>
      <c r="ALZ15" s="301"/>
      <c r="AMA15" s="301"/>
      <c r="AMB15" s="301"/>
      <c r="AMC15" s="301"/>
      <c r="AMD15" s="301"/>
      <c r="AME15" s="301"/>
      <c r="AMF15" s="301"/>
      <c r="AMG15" s="301"/>
      <c r="AMH15" s="301"/>
      <c r="AMI15" s="301"/>
      <c r="AMJ15" s="301"/>
    </row>
    <row r="16" customFormat="false" ht="12.8" hidden="false" customHeight="false" outlineLevel="0" collapsed="false">
      <c r="A16" s="1" t="s">
        <v>202</v>
      </c>
      <c r="B16" s="310"/>
      <c r="C16" s="311" t="str">
        <f aca="false">IF(B16&gt;0,1,"")</f>
        <v/>
      </c>
      <c r="D16" s="310"/>
      <c r="E16" s="311" t="str">
        <f aca="false">IF(D16&gt;0,1,"")</f>
        <v/>
      </c>
      <c r="F16" s="310" t="n">
        <f aca="false">Worksheet!Q47/12</f>
        <v>0</v>
      </c>
      <c r="G16" s="311" t="str">
        <f aca="false">IF(F16&gt;0,1,"")</f>
        <v/>
      </c>
      <c r="H16" s="310"/>
      <c r="I16" s="311" t="str">
        <f aca="false">IF(H16&gt;0,1,"")</f>
        <v/>
      </c>
      <c r="J16" s="313" t="str">
        <f aca="false">IF(SUM(C16,E16,G16,I16)&gt;1,"ERROR",IF(B16&gt;=1,B16*52,IF(D16&gt;=1,D16*26,IF(F16&gt;=1,F16*12,IF(H16&gt;=1,H16*4,"")))))</f>
        <v/>
      </c>
      <c r="K16" s="301"/>
      <c r="L16" s="301"/>
      <c r="M16" s="301"/>
      <c r="N16" s="301"/>
      <c r="O16" s="301"/>
      <c r="P16" s="301"/>
      <c r="Q16" s="301"/>
      <c r="R16" s="301"/>
      <c r="S16" s="301"/>
      <c r="T16" s="301"/>
      <c r="U16" s="301"/>
      <c r="V16" s="301"/>
      <c r="W16" s="301"/>
      <c r="X16" s="301"/>
      <c r="Y16" s="301"/>
      <c r="Z16" s="301"/>
      <c r="AA16" s="301"/>
      <c r="AB16" s="301"/>
      <c r="AC16" s="301"/>
      <c r="AD16" s="301"/>
      <c r="AE16" s="301"/>
      <c r="AF16" s="301"/>
      <c r="AG16" s="301"/>
      <c r="AH16" s="301"/>
      <c r="AI16" s="301"/>
      <c r="AJ16" s="301"/>
      <c r="AK16" s="301"/>
      <c r="AL16" s="301"/>
      <c r="AM16" s="301"/>
      <c r="AN16" s="301"/>
      <c r="AO16" s="301"/>
      <c r="AP16" s="301"/>
      <c r="AQ16" s="301"/>
      <c r="AR16" s="301"/>
      <c r="AS16" s="301"/>
      <c r="AT16" s="301"/>
      <c r="AU16" s="301"/>
      <c r="AV16" s="301"/>
      <c r="AW16" s="301"/>
      <c r="AX16" s="301"/>
      <c r="AY16" s="301"/>
      <c r="AZ16" s="301"/>
      <c r="BA16" s="301"/>
      <c r="BB16" s="301"/>
      <c r="BC16" s="301"/>
      <c r="BD16" s="301"/>
      <c r="BE16" s="301"/>
      <c r="BF16" s="301"/>
      <c r="BG16" s="301"/>
      <c r="BH16" s="301"/>
      <c r="BI16" s="301"/>
      <c r="BJ16" s="301"/>
      <c r="BK16" s="301"/>
      <c r="BL16" s="301"/>
      <c r="BM16" s="301"/>
      <c r="BN16" s="301"/>
      <c r="BO16" s="301"/>
      <c r="BP16" s="301"/>
      <c r="BQ16" s="301"/>
      <c r="BR16" s="301"/>
      <c r="BS16" s="301"/>
      <c r="BT16" s="301"/>
      <c r="BU16" s="301"/>
      <c r="BV16" s="301"/>
      <c r="BW16" s="301"/>
      <c r="BX16" s="301"/>
      <c r="BY16" s="301"/>
      <c r="BZ16" s="301"/>
      <c r="CA16" s="301"/>
      <c r="CB16" s="301"/>
      <c r="CC16" s="301"/>
      <c r="CD16" s="301"/>
      <c r="CE16" s="301"/>
      <c r="CF16" s="301"/>
      <c r="CG16" s="301"/>
      <c r="CH16" s="301"/>
      <c r="CI16" s="301"/>
      <c r="CJ16" s="301"/>
      <c r="CK16" s="301"/>
      <c r="CL16" s="301"/>
      <c r="CM16" s="301"/>
      <c r="CN16" s="301"/>
      <c r="CO16" s="301"/>
      <c r="CP16" s="301"/>
      <c r="CQ16" s="301"/>
      <c r="CR16" s="301"/>
      <c r="CS16" s="301"/>
      <c r="CT16" s="301"/>
      <c r="CU16" s="301"/>
      <c r="CV16" s="301"/>
      <c r="CW16" s="301"/>
      <c r="CX16" s="301"/>
      <c r="CY16" s="301"/>
      <c r="CZ16" s="301"/>
      <c r="DA16" s="301"/>
      <c r="DB16" s="301"/>
      <c r="DC16" s="301"/>
      <c r="DD16" s="301"/>
      <c r="DE16" s="301"/>
      <c r="DF16" s="301"/>
      <c r="DG16" s="301"/>
      <c r="DH16" s="301"/>
      <c r="DI16" s="301"/>
      <c r="DJ16" s="301"/>
      <c r="DK16" s="301"/>
      <c r="DL16" s="301"/>
      <c r="DM16" s="301"/>
      <c r="DN16" s="301"/>
      <c r="DO16" s="301"/>
      <c r="DP16" s="301"/>
      <c r="DQ16" s="301"/>
      <c r="DR16" s="301"/>
      <c r="DS16" s="301"/>
      <c r="DT16" s="301"/>
      <c r="DU16" s="301"/>
      <c r="DV16" s="301"/>
      <c r="DW16" s="301"/>
      <c r="DX16" s="301"/>
      <c r="DY16" s="301"/>
      <c r="DZ16" s="301"/>
      <c r="EA16" s="301"/>
      <c r="EB16" s="301"/>
      <c r="EC16" s="301"/>
      <c r="ED16" s="301"/>
      <c r="EE16" s="301"/>
      <c r="EF16" s="301"/>
      <c r="EG16" s="301"/>
      <c r="EH16" s="301"/>
      <c r="EI16" s="301"/>
      <c r="EJ16" s="301"/>
      <c r="EK16" s="301"/>
      <c r="EL16" s="301"/>
      <c r="EM16" s="301"/>
      <c r="EN16" s="301"/>
      <c r="EO16" s="301"/>
      <c r="EP16" s="301"/>
      <c r="EQ16" s="301"/>
      <c r="ER16" s="301"/>
      <c r="ES16" s="301"/>
      <c r="ET16" s="301"/>
      <c r="EU16" s="301"/>
      <c r="EV16" s="301"/>
      <c r="EW16" s="301"/>
      <c r="EX16" s="301"/>
      <c r="EY16" s="301"/>
      <c r="EZ16" s="301"/>
      <c r="FA16" s="301"/>
      <c r="FB16" s="301"/>
      <c r="FC16" s="301"/>
      <c r="FD16" s="301"/>
      <c r="FE16" s="301"/>
      <c r="FF16" s="301"/>
      <c r="FG16" s="301"/>
      <c r="FH16" s="301"/>
      <c r="FI16" s="301"/>
      <c r="FJ16" s="301"/>
      <c r="FK16" s="301"/>
      <c r="FL16" s="301"/>
      <c r="FM16" s="301"/>
      <c r="FN16" s="301"/>
      <c r="FO16" s="301"/>
      <c r="FP16" s="301"/>
      <c r="FQ16" s="301"/>
      <c r="FR16" s="301"/>
      <c r="FS16" s="301"/>
      <c r="FT16" s="301"/>
      <c r="FU16" s="301"/>
      <c r="FV16" s="301"/>
      <c r="FW16" s="301"/>
      <c r="FX16" s="301"/>
      <c r="FY16" s="301"/>
      <c r="FZ16" s="301"/>
      <c r="GA16" s="301"/>
      <c r="GB16" s="301"/>
      <c r="GC16" s="301"/>
      <c r="GD16" s="301"/>
      <c r="GE16" s="301"/>
      <c r="GF16" s="301"/>
      <c r="GG16" s="301"/>
      <c r="GH16" s="301"/>
      <c r="GI16" s="301"/>
      <c r="GJ16" s="301"/>
      <c r="GK16" s="301"/>
      <c r="GL16" s="301"/>
      <c r="GM16" s="301"/>
      <c r="GN16" s="301"/>
      <c r="GO16" s="301"/>
      <c r="GP16" s="301"/>
      <c r="GQ16" s="301"/>
      <c r="GR16" s="301"/>
      <c r="GS16" s="301"/>
      <c r="GT16" s="301"/>
      <c r="GU16" s="301"/>
      <c r="GV16" s="301"/>
      <c r="GW16" s="301"/>
      <c r="GX16" s="301"/>
      <c r="GY16" s="301"/>
      <c r="GZ16" s="301"/>
      <c r="HA16" s="301"/>
      <c r="HB16" s="301"/>
      <c r="HC16" s="301"/>
      <c r="HD16" s="301"/>
      <c r="HE16" s="301"/>
      <c r="HF16" s="301"/>
      <c r="HG16" s="301"/>
      <c r="HH16" s="301"/>
      <c r="HI16" s="301"/>
      <c r="HJ16" s="301"/>
      <c r="HK16" s="301"/>
      <c r="HL16" s="301"/>
      <c r="HM16" s="301"/>
      <c r="HN16" s="301"/>
      <c r="HO16" s="301"/>
      <c r="HP16" s="301"/>
      <c r="HQ16" s="301"/>
      <c r="HR16" s="301"/>
      <c r="HS16" s="301"/>
      <c r="HT16" s="301"/>
      <c r="HU16" s="301"/>
      <c r="HV16" s="301"/>
      <c r="HW16" s="301"/>
      <c r="HX16" s="301"/>
      <c r="HY16" s="301"/>
      <c r="HZ16" s="301"/>
      <c r="IA16" s="301"/>
      <c r="IB16" s="301"/>
      <c r="IC16" s="301"/>
      <c r="ID16" s="301"/>
      <c r="IE16" s="301"/>
      <c r="IF16" s="301"/>
      <c r="IG16" s="301"/>
      <c r="IH16" s="301"/>
      <c r="II16" s="301"/>
      <c r="IJ16" s="301"/>
      <c r="IK16" s="301"/>
      <c r="IL16" s="301"/>
      <c r="IM16" s="301"/>
      <c r="IN16" s="301"/>
      <c r="IO16" s="301"/>
      <c r="IP16" s="301"/>
      <c r="IQ16" s="301"/>
      <c r="IR16" s="301"/>
      <c r="IS16" s="301"/>
      <c r="IT16" s="301"/>
      <c r="IU16" s="301"/>
      <c r="IV16" s="301"/>
      <c r="IW16" s="301"/>
      <c r="IX16" s="301"/>
      <c r="IY16" s="301"/>
      <c r="IZ16" s="301"/>
      <c r="JA16" s="301"/>
      <c r="JB16" s="301"/>
      <c r="JC16" s="301"/>
      <c r="JD16" s="301"/>
      <c r="JE16" s="301"/>
      <c r="JF16" s="301"/>
      <c r="JG16" s="301"/>
      <c r="JH16" s="301"/>
      <c r="JI16" s="301"/>
      <c r="JJ16" s="301"/>
      <c r="JK16" s="301"/>
      <c r="JL16" s="301"/>
      <c r="JM16" s="301"/>
      <c r="JN16" s="301"/>
      <c r="JO16" s="301"/>
      <c r="JP16" s="301"/>
      <c r="JQ16" s="301"/>
      <c r="JR16" s="301"/>
      <c r="JS16" s="301"/>
      <c r="JT16" s="301"/>
      <c r="JU16" s="301"/>
      <c r="JV16" s="301"/>
      <c r="JW16" s="301"/>
      <c r="JX16" s="301"/>
      <c r="JY16" s="301"/>
      <c r="JZ16" s="301"/>
      <c r="KA16" s="301"/>
      <c r="KB16" s="301"/>
      <c r="KC16" s="301"/>
      <c r="KD16" s="301"/>
      <c r="KE16" s="301"/>
      <c r="KF16" s="301"/>
      <c r="KG16" s="301"/>
      <c r="KH16" s="301"/>
      <c r="KI16" s="301"/>
      <c r="KJ16" s="301"/>
      <c r="KK16" s="301"/>
      <c r="KL16" s="301"/>
      <c r="KM16" s="301"/>
      <c r="KN16" s="301"/>
      <c r="KO16" s="301"/>
      <c r="KP16" s="301"/>
      <c r="KQ16" s="301"/>
      <c r="KR16" s="301"/>
      <c r="KS16" s="301"/>
      <c r="KT16" s="301"/>
      <c r="KU16" s="301"/>
      <c r="KV16" s="301"/>
      <c r="KW16" s="301"/>
      <c r="KX16" s="301"/>
      <c r="KY16" s="301"/>
      <c r="KZ16" s="301"/>
      <c r="LA16" s="301"/>
      <c r="LB16" s="301"/>
      <c r="LC16" s="301"/>
      <c r="LD16" s="301"/>
      <c r="LE16" s="301"/>
      <c r="LF16" s="301"/>
      <c r="LG16" s="301"/>
      <c r="LH16" s="301"/>
      <c r="LI16" s="301"/>
      <c r="LJ16" s="301"/>
      <c r="LK16" s="301"/>
      <c r="LL16" s="301"/>
      <c r="LM16" s="301"/>
      <c r="LN16" s="301"/>
      <c r="LO16" s="301"/>
      <c r="LP16" s="301"/>
      <c r="LQ16" s="301"/>
      <c r="LR16" s="301"/>
      <c r="LS16" s="301"/>
      <c r="LT16" s="301"/>
      <c r="LU16" s="301"/>
      <c r="LV16" s="301"/>
      <c r="LW16" s="301"/>
      <c r="LX16" s="301"/>
      <c r="LY16" s="301"/>
      <c r="LZ16" s="301"/>
      <c r="MA16" s="301"/>
      <c r="MB16" s="301"/>
      <c r="MC16" s="301"/>
      <c r="MD16" s="301"/>
      <c r="ME16" s="301"/>
      <c r="MF16" s="301"/>
      <c r="MG16" s="301"/>
      <c r="MH16" s="301"/>
      <c r="MI16" s="301"/>
      <c r="MJ16" s="301"/>
      <c r="MK16" s="301"/>
      <c r="ML16" s="301"/>
      <c r="MM16" s="301"/>
      <c r="MN16" s="301"/>
      <c r="MO16" s="301"/>
      <c r="MP16" s="301"/>
      <c r="MQ16" s="301"/>
      <c r="MR16" s="301"/>
      <c r="MS16" s="301"/>
      <c r="MT16" s="301"/>
      <c r="MU16" s="301"/>
      <c r="MV16" s="301"/>
      <c r="MW16" s="301"/>
      <c r="MX16" s="301"/>
      <c r="MY16" s="301"/>
      <c r="MZ16" s="301"/>
      <c r="NA16" s="301"/>
      <c r="NB16" s="301"/>
      <c r="NC16" s="301"/>
      <c r="ND16" s="301"/>
      <c r="NE16" s="301"/>
      <c r="NF16" s="301"/>
      <c r="NG16" s="301"/>
      <c r="NH16" s="301"/>
      <c r="NI16" s="301"/>
      <c r="NJ16" s="301"/>
      <c r="NK16" s="301"/>
      <c r="NL16" s="301"/>
      <c r="NM16" s="301"/>
      <c r="NN16" s="301"/>
      <c r="NO16" s="301"/>
      <c r="NP16" s="301"/>
      <c r="NQ16" s="301"/>
      <c r="NR16" s="301"/>
      <c r="NS16" s="301"/>
      <c r="NT16" s="301"/>
      <c r="NU16" s="301"/>
      <c r="NV16" s="301"/>
      <c r="NW16" s="301"/>
      <c r="NX16" s="301"/>
      <c r="NY16" s="301"/>
      <c r="NZ16" s="301"/>
      <c r="OA16" s="301"/>
      <c r="OB16" s="301"/>
      <c r="OC16" s="301"/>
      <c r="OD16" s="301"/>
      <c r="OE16" s="301"/>
      <c r="OF16" s="301"/>
      <c r="OG16" s="301"/>
      <c r="OH16" s="301"/>
      <c r="OI16" s="301"/>
      <c r="OJ16" s="301"/>
      <c r="OK16" s="301"/>
      <c r="OL16" s="301"/>
      <c r="OM16" s="301"/>
      <c r="ON16" s="301"/>
      <c r="OO16" s="301"/>
      <c r="OP16" s="301"/>
      <c r="OQ16" s="301"/>
      <c r="OR16" s="301"/>
      <c r="OS16" s="301"/>
      <c r="OT16" s="301"/>
      <c r="OU16" s="301"/>
      <c r="OV16" s="301"/>
      <c r="OW16" s="301"/>
      <c r="OX16" s="301"/>
      <c r="OY16" s="301"/>
      <c r="OZ16" s="301"/>
      <c r="PA16" s="301"/>
      <c r="PB16" s="301"/>
      <c r="PC16" s="301"/>
      <c r="PD16" s="301"/>
      <c r="PE16" s="301"/>
      <c r="PF16" s="301"/>
      <c r="PG16" s="301"/>
      <c r="PH16" s="301"/>
      <c r="PI16" s="301"/>
      <c r="PJ16" s="301"/>
      <c r="PK16" s="301"/>
      <c r="PL16" s="301"/>
      <c r="PM16" s="301"/>
      <c r="PN16" s="301"/>
      <c r="PO16" s="301"/>
      <c r="PP16" s="301"/>
      <c r="PQ16" s="301"/>
      <c r="PR16" s="301"/>
      <c r="PS16" s="301"/>
      <c r="PT16" s="301"/>
      <c r="PU16" s="301"/>
      <c r="PV16" s="301"/>
      <c r="PW16" s="301"/>
      <c r="PX16" s="301"/>
      <c r="PY16" s="301"/>
      <c r="PZ16" s="301"/>
      <c r="QA16" s="301"/>
      <c r="QB16" s="301"/>
      <c r="QC16" s="301"/>
      <c r="QD16" s="301"/>
      <c r="QE16" s="301"/>
      <c r="QF16" s="301"/>
      <c r="QG16" s="301"/>
      <c r="QH16" s="301"/>
      <c r="QI16" s="301"/>
      <c r="QJ16" s="301"/>
      <c r="QK16" s="301"/>
      <c r="QL16" s="301"/>
      <c r="QM16" s="301"/>
      <c r="QN16" s="301"/>
      <c r="QO16" s="301"/>
      <c r="QP16" s="301"/>
      <c r="QQ16" s="301"/>
      <c r="QR16" s="301"/>
      <c r="QS16" s="301"/>
      <c r="QT16" s="301"/>
      <c r="QU16" s="301"/>
      <c r="QV16" s="301"/>
      <c r="QW16" s="301"/>
      <c r="QX16" s="301"/>
      <c r="QY16" s="301"/>
      <c r="QZ16" s="301"/>
      <c r="RA16" s="301"/>
      <c r="RB16" s="301"/>
      <c r="RC16" s="301"/>
      <c r="RD16" s="301"/>
      <c r="RE16" s="301"/>
      <c r="RF16" s="301"/>
      <c r="RG16" s="301"/>
      <c r="RH16" s="301"/>
      <c r="RI16" s="301"/>
      <c r="RJ16" s="301"/>
      <c r="RK16" s="301"/>
      <c r="RL16" s="301"/>
      <c r="RM16" s="301"/>
      <c r="RN16" s="301"/>
      <c r="RO16" s="301"/>
      <c r="RP16" s="301"/>
      <c r="RQ16" s="301"/>
      <c r="RR16" s="301"/>
      <c r="RS16" s="301"/>
      <c r="RT16" s="301"/>
      <c r="RU16" s="301"/>
      <c r="RV16" s="301"/>
      <c r="RW16" s="301"/>
      <c r="RX16" s="301"/>
      <c r="RY16" s="301"/>
      <c r="RZ16" s="301"/>
      <c r="SA16" s="301"/>
      <c r="SB16" s="301"/>
      <c r="SC16" s="301"/>
      <c r="SD16" s="301"/>
      <c r="SE16" s="301"/>
      <c r="SF16" s="301"/>
      <c r="SG16" s="301"/>
      <c r="SH16" s="301"/>
      <c r="SI16" s="301"/>
      <c r="SJ16" s="301"/>
      <c r="SK16" s="301"/>
      <c r="SL16" s="301"/>
      <c r="SM16" s="301"/>
      <c r="SN16" s="301"/>
      <c r="SO16" s="301"/>
      <c r="SP16" s="301"/>
      <c r="SQ16" s="301"/>
      <c r="SR16" s="301"/>
      <c r="SS16" s="301"/>
      <c r="ST16" s="301"/>
      <c r="SU16" s="301"/>
      <c r="SV16" s="301"/>
      <c r="SW16" s="301"/>
      <c r="SX16" s="301"/>
      <c r="SY16" s="301"/>
      <c r="SZ16" s="301"/>
      <c r="TA16" s="301"/>
      <c r="TB16" s="301"/>
      <c r="TC16" s="301"/>
      <c r="TD16" s="301"/>
      <c r="TE16" s="301"/>
      <c r="TF16" s="301"/>
      <c r="TG16" s="301"/>
      <c r="TH16" s="301"/>
      <c r="TI16" s="301"/>
      <c r="TJ16" s="301"/>
      <c r="TK16" s="301"/>
      <c r="TL16" s="301"/>
      <c r="TM16" s="301"/>
      <c r="TN16" s="301"/>
      <c r="TO16" s="301"/>
      <c r="TP16" s="301"/>
      <c r="TQ16" s="301"/>
      <c r="TR16" s="301"/>
      <c r="TS16" s="301"/>
      <c r="TT16" s="301"/>
      <c r="TU16" s="301"/>
      <c r="TV16" s="301"/>
      <c r="TW16" s="301"/>
      <c r="TX16" s="301"/>
      <c r="TY16" s="301"/>
      <c r="TZ16" s="301"/>
      <c r="UA16" s="301"/>
      <c r="UB16" s="301"/>
      <c r="UC16" s="301"/>
      <c r="UD16" s="301"/>
      <c r="UE16" s="301"/>
      <c r="UF16" s="301"/>
      <c r="UG16" s="301"/>
      <c r="UH16" s="301"/>
      <c r="UI16" s="301"/>
      <c r="UJ16" s="301"/>
      <c r="UK16" s="301"/>
      <c r="UL16" s="301"/>
      <c r="UM16" s="301"/>
      <c r="UN16" s="301"/>
      <c r="UO16" s="301"/>
      <c r="UP16" s="301"/>
      <c r="UQ16" s="301"/>
      <c r="UR16" s="301"/>
      <c r="US16" s="301"/>
      <c r="UT16" s="301"/>
      <c r="UU16" s="301"/>
      <c r="UV16" s="301"/>
      <c r="UW16" s="301"/>
      <c r="UX16" s="301"/>
      <c r="UY16" s="301"/>
      <c r="UZ16" s="301"/>
      <c r="VA16" s="301"/>
      <c r="VB16" s="301"/>
      <c r="VC16" s="301"/>
      <c r="VD16" s="301"/>
      <c r="VE16" s="301"/>
      <c r="VF16" s="301"/>
      <c r="VG16" s="301"/>
      <c r="VH16" s="301"/>
      <c r="VI16" s="301"/>
      <c r="VJ16" s="301"/>
      <c r="VK16" s="301"/>
      <c r="VL16" s="301"/>
      <c r="VM16" s="301"/>
      <c r="VN16" s="301"/>
      <c r="VO16" s="301"/>
      <c r="VP16" s="301"/>
      <c r="VQ16" s="301"/>
      <c r="VR16" s="301"/>
      <c r="VS16" s="301"/>
      <c r="VT16" s="301"/>
      <c r="VU16" s="301"/>
      <c r="VV16" s="301"/>
      <c r="VW16" s="301"/>
      <c r="VX16" s="301"/>
      <c r="VY16" s="301"/>
      <c r="VZ16" s="301"/>
      <c r="WA16" s="301"/>
      <c r="WB16" s="301"/>
      <c r="WC16" s="301"/>
      <c r="WD16" s="301"/>
      <c r="WE16" s="301"/>
      <c r="WF16" s="301"/>
      <c r="WG16" s="301"/>
      <c r="WH16" s="301"/>
      <c r="WI16" s="301"/>
      <c r="WJ16" s="301"/>
      <c r="WK16" s="301"/>
      <c r="WL16" s="301"/>
      <c r="WM16" s="301"/>
      <c r="WN16" s="301"/>
      <c r="WO16" s="301"/>
      <c r="WP16" s="301"/>
      <c r="WQ16" s="301"/>
      <c r="WR16" s="301"/>
      <c r="WS16" s="301"/>
      <c r="WT16" s="301"/>
      <c r="WU16" s="301"/>
      <c r="WV16" s="301"/>
      <c r="WW16" s="301"/>
      <c r="WX16" s="301"/>
      <c r="WY16" s="301"/>
      <c r="WZ16" s="301"/>
      <c r="XA16" s="301"/>
      <c r="XB16" s="301"/>
      <c r="XC16" s="301"/>
      <c r="XD16" s="301"/>
      <c r="XE16" s="301"/>
      <c r="XF16" s="301"/>
      <c r="XG16" s="301"/>
      <c r="XH16" s="301"/>
      <c r="XI16" s="301"/>
      <c r="XJ16" s="301"/>
      <c r="XK16" s="301"/>
      <c r="XL16" s="301"/>
      <c r="XM16" s="301"/>
      <c r="XN16" s="301"/>
      <c r="XO16" s="301"/>
      <c r="XP16" s="301"/>
      <c r="XQ16" s="301"/>
      <c r="XR16" s="301"/>
      <c r="XS16" s="301"/>
      <c r="XT16" s="301"/>
      <c r="XU16" s="301"/>
      <c r="XV16" s="301"/>
      <c r="XW16" s="301"/>
      <c r="XX16" s="301"/>
      <c r="XY16" s="301"/>
      <c r="XZ16" s="301"/>
      <c r="YA16" s="301"/>
      <c r="YB16" s="301"/>
      <c r="YC16" s="301"/>
      <c r="YD16" s="301"/>
      <c r="YE16" s="301"/>
      <c r="YF16" s="301"/>
      <c r="YG16" s="301"/>
      <c r="YH16" s="301"/>
      <c r="YI16" s="301"/>
      <c r="YJ16" s="301"/>
      <c r="YK16" s="301"/>
      <c r="YL16" s="301"/>
      <c r="YM16" s="301"/>
      <c r="YN16" s="301"/>
      <c r="YO16" s="301"/>
      <c r="YP16" s="301"/>
      <c r="YQ16" s="301"/>
      <c r="YR16" s="301"/>
      <c r="YS16" s="301"/>
      <c r="YT16" s="301"/>
      <c r="YU16" s="301"/>
      <c r="YV16" s="301"/>
      <c r="YW16" s="301"/>
      <c r="YX16" s="301"/>
      <c r="YY16" s="301"/>
      <c r="YZ16" s="301"/>
      <c r="ZA16" s="301"/>
      <c r="ZB16" s="301"/>
      <c r="ZC16" s="301"/>
      <c r="ZD16" s="301"/>
      <c r="ZE16" s="301"/>
      <c r="ZF16" s="301"/>
      <c r="ZG16" s="301"/>
      <c r="ZH16" s="301"/>
      <c r="ZI16" s="301"/>
      <c r="ZJ16" s="301"/>
      <c r="ZK16" s="301"/>
      <c r="ZL16" s="301"/>
      <c r="ZM16" s="301"/>
      <c r="ZN16" s="301"/>
      <c r="ZO16" s="301"/>
      <c r="ZP16" s="301"/>
      <c r="ZQ16" s="301"/>
      <c r="ZR16" s="301"/>
      <c r="ZS16" s="301"/>
      <c r="ZT16" s="301"/>
      <c r="ZU16" s="301"/>
      <c r="ZV16" s="301"/>
      <c r="ZW16" s="301"/>
      <c r="ZX16" s="301"/>
      <c r="ZY16" s="301"/>
      <c r="ZZ16" s="301"/>
      <c r="AAA16" s="301"/>
      <c r="AAB16" s="301"/>
      <c r="AAC16" s="301"/>
      <c r="AAD16" s="301"/>
      <c r="AAE16" s="301"/>
      <c r="AAF16" s="301"/>
      <c r="AAG16" s="301"/>
      <c r="AAH16" s="301"/>
      <c r="AAI16" s="301"/>
      <c r="AAJ16" s="301"/>
      <c r="AAK16" s="301"/>
      <c r="AAL16" s="301"/>
      <c r="AAM16" s="301"/>
      <c r="AAN16" s="301"/>
      <c r="AAO16" s="301"/>
      <c r="AAP16" s="301"/>
      <c r="AAQ16" s="301"/>
      <c r="AAR16" s="301"/>
      <c r="AAS16" s="301"/>
      <c r="AAT16" s="301"/>
      <c r="AAU16" s="301"/>
      <c r="AAV16" s="301"/>
      <c r="AAW16" s="301"/>
      <c r="AAX16" s="301"/>
      <c r="AAY16" s="301"/>
      <c r="AAZ16" s="301"/>
      <c r="ABA16" s="301"/>
      <c r="ABB16" s="301"/>
      <c r="ABC16" s="301"/>
      <c r="ABD16" s="301"/>
      <c r="ABE16" s="301"/>
      <c r="ABF16" s="301"/>
      <c r="ABG16" s="301"/>
      <c r="ABH16" s="301"/>
      <c r="ABI16" s="301"/>
      <c r="ABJ16" s="301"/>
      <c r="ABK16" s="301"/>
      <c r="ABL16" s="301"/>
      <c r="ABM16" s="301"/>
      <c r="ABN16" s="301"/>
      <c r="ABO16" s="301"/>
      <c r="ABP16" s="301"/>
      <c r="ABQ16" s="301"/>
      <c r="ABR16" s="301"/>
      <c r="ABS16" s="301"/>
      <c r="ABT16" s="301"/>
      <c r="ABU16" s="301"/>
      <c r="ABV16" s="301"/>
      <c r="ABW16" s="301"/>
      <c r="ABX16" s="301"/>
      <c r="ABY16" s="301"/>
      <c r="ABZ16" s="301"/>
      <c r="ACA16" s="301"/>
      <c r="ACB16" s="301"/>
      <c r="ACC16" s="301"/>
      <c r="ACD16" s="301"/>
      <c r="ACE16" s="301"/>
      <c r="ACF16" s="301"/>
      <c r="ACG16" s="301"/>
      <c r="ACH16" s="301"/>
      <c r="ACI16" s="301"/>
      <c r="ACJ16" s="301"/>
      <c r="ACK16" s="301"/>
      <c r="ACL16" s="301"/>
      <c r="ACM16" s="301"/>
      <c r="ACN16" s="301"/>
      <c r="ACO16" s="301"/>
      <c r="ACP16" s="301"/>
      <c r="ACQ16" s="301"/>
      <c r="ACR16" s="301"/>
      <c r="ACS16" s="301"/>
      <c r="ACT16" s="301"/>
      <c r="ACU16" s="301"/>
      <c r="ACV16" s="301"/>
      <c r="ACW16" s="301"/>
      <c r="ACX16" s="301"/>
      <c r="ACY16" s="301"/>
      <c r="ACZ16" s="301"/>
      <c r="ADA16" s="301"/>
      <c r="ADB16" s="301"/>
      <c r="ADC16" s="301"/>
      <c r="ADD16" s="301"/>
      <c r="ADE16" s="301"/>
      <c r="ADF16" s="301"/>
      <c r="ADG16" s="301"/>
      <c r="ADH16" s="301"/>
      <c r="ADI16" s="301"/>
      <c r="ADJ16" s="301"/>
      <c r="ADK16" s="301"/>
      <c r="ADL16" s="301"/>
      <c r="ADM16" s="301"/>
      <c r="ADN16" s="301"/>
      <c r="ADO16" s="301"/>
      <c r="ADP16" s="301"/>
      <c r="ADQ16" s="301"/>
      <c r="ADR16" s="301"/>
      <c r="ADS16" s="301"/>
      <c r="ADT16" s="301"/>
      <c r="ADU16" s="301"/>
      <c r="ADV16" s="301"/>
      <c r="ADW16" s="301"/>
      <c r="ADX16" s="301"/>
      <c r="ADY16" s="301"/>
      <c r="ADZ16" s="301"/>
      <c r="AEA16" s="301"/>
      <c r="AEB16" s="301"/>
      <c r="AEC16" s="301"/>
      <c r="AED16" s="301"/>
      <c r="AEE16" s="301"/>
      <c r="AEF16" s="301"/>
      <c r="AEG16" s="301"/>
      <c r="AEH16" s="301"/>
      <c r="AEI16" s="301"/>
      <c r="AEJ16" s="301"/>
      <c r="AEK16" s="301"/>
      <c r="AEL16" s="301"/>
      <c r="AEM16" s="301"/>
      <c r="AEN16" s="301"/>
      <c r="AEO16" s="301"/>
      <c r="AEP16" s="301"/>
      <c r="AEQ16" s="301"/>
      <c r="AER16" s="301"/>
      <c r="AES16" s="301"/>
      <c r="AET16" s="301"/>
      <c r="AEU16" s="301"/>
      <c r="AEV16" s="301"/>
      <c r="AEW16" s="301"/>
      <c r="AEX16" s="301"/>
      <c r="AEY16" s="301"/>
      <c r="AEZ16" s="301"/>
      <c r="AFA16" s="301"/>
      <c r="AFB16" s="301"/>
      <c r="AFC16" s="301"/>
      <c r="AFD16" s="301"/>
      <c r="AFE16" s="301"/>
      <c r="AFF16" s="301"/>
      <c r="AFG16" s="301"/>
      <c r="AFH16" s="301"/>
      <c r="AFI16" s="301"/>
      <c r="AFJ16" s="301"/>
      <c r="AFK16" s="301"/>
      <c r="AFL16" s="301"/>
      <c r="AFM16" s="301"/>
      <c r="AFN16" s="301"/>
      <c r="AFO16" s="301"/>
      <c r="AFP16" s="301"/>
      <c r="AFQ16" s="301"/>
      <c r="AFR16" s="301"/>
      <c r="AFS16" s="301"/>
      <c r="AFT16" s="301"/>
      <c r="AFU16" s="301"/>
      <c r="AFV16" s="301"/>
      <c r="AFW16" s="301"/>
      <c r="AFX16" s="301"/>
      <c r="AFY16" s="301"/>
      <c r="AFZ16" s="301"/>
      <c r="AGA16" s="301"/>
      <c r="AGB16" s="301"/>
      <c r="AGC16" s="301"/>
      <c r="AGD16" s="301"/>
      <c r="AGE16" s="301"/>
      <c r="AGF16" s="301"/>
      <c r="AGG16" s="301"/>
      <c r="AGH16" s="301"/>
      <c r="AGI16" s="301"/>
      <c r="AGJ16" s="301"/>
      <c r="AGK16" s="301"/>
      <c r="AGL16" s="301"/>
      <c r="AGM16" s="301"/>
      <c r="AGN16" s="301"/>
      <c r="AGO16" s="301"/>
      <c r="AGP16" s="301"/>
      <c r="AGQ16" s="301"/>
      <c r="AGR16" s="301"/>
      <c r="AGS16" s="301"/>
      <c r="AGT16" s="301"/>
      <c r="AGU16" s="301"/>
      <c r="AGV16" s="301"/>
      <c r="AGW16" s="301"/>
      <c r="AGX16" s="301"/>
      <c r="AGY16" s="301"/>
      <c r="AGZ16" s="301"/>
      <c r="AHA16" s="301"/>
      <c r="AHB16" s="301"/>
      <c r="AHC16" s="301"/>
      <c r="AHD16" s="301"/>
      <c r="AHE16" s="301"/>
      <c r="AHF16" s="301"/>
      <c r="AHG16" s="301"/>
      <c r="AHH16" s="301"/>
      <c r="AHI16" s="301"/>
      <c r="AHJ16" s="301"/>
      <c r="AHK16" s="301"/>
      <c r="AHL16" s="301"/>
      <c r="AHM16" s="301"/>
      <c r="AHN16" s="301"/>
      <c r="AHO16" s="301"/>
      <c r="AHP16" s="301"/>
      <c r="AHQ16" s="301"/>
      <c r="AHR16" s="301"/>
      <c r="AHS16" s="301"/>
      <c r="AHT16" s="301"/>
      <c r="AHU16" s="301"/>
      <c r="AHV16" s="301"/>
      <c r="AHW16" s="301"/>
      <c r="AHX16" s="301"/>
      <c r="AHY16" s="301"/>
      <c r="AHZ16" s="301"/>
      <c r="AIA16" s="301"/>
      <c r="AIB16" s="301"/>
      <c r="AIC16" s="301"/>
      <c r="AID16" s="301"/>
      <c r="AIE16" s="301"/>
      <c r="AIF16" s="301"/>
      <c r="AIG16" s="301"/>
      <c r="AIH16" s="301"/>
      <c r="AII16" s="301"/>
      <c r="AIJ16" s="301"/>
      <c r="AIK16" s="301"/>
      <c r="AIL16" s="301"/>
      <c r="AIM16" s="301"/>
      <c r="AIN16" s="301"/>
      <c r="AIO16" s="301"/>
      <c r="AIP16" s="301"/>
      <c r="AIQ16" s="301"/>
      <c r="AIR16" s="301"/>
      <c r="AIS16" s="301"/>
      <c r="AIT16" s="301"/>
      <c r="AIU16" s="301"/>
      <c r="AIV16" s="301"/>
      <c r="AIW16" s="301"/>
      <c r="AIX16" s="301"/>
      <c r="AIY16" s="301"/>
      <c r="AIZ16" s="301"/>
      <c r="AJA16" s="301"/>
      <c r="AJB16" s="301"/>
      <c r="AJC16" s="301"/>
      <c r="AJD16" s="301"/>
      <c r="AJE16" s="301"/>
      <c r="AJF16" s="301"/>
      <c r="AJG16" s="301"/>
      <c r="AJH16" s="301"/>
      <c r="AJI16" s="301"/>
      <c r="AJJ16" s="301"/>
      <c r="AJK16" s="301"/>
      <c r="AJL16" s="301"/>
      <c r="AJM16" s="301"/>
      <c r="AJN16" s="301"/>
      <c r="AJO16" s="301"/>
      <c r="AJP16" s="301"/>
      <c r="AJQ16" s="301"/>
      <c r="AJR16" s="301"/>
      <c r="AJS16" s="301"/>
      <c r="AJT16" s="301"/>
      <c r="AJU16" s="301"/>
      <c r="AJV16" s="301"/>
      <c r="AJW16" s="301"/>
      <c r="AJX16" s="301"/>
      <c r="AJY16" s="301"/>
      <c r="AJZ16" s="301"/>
      <c r="AKA16" s="301"/>
      <c r="AKB16" s="301"/>
      <c r="AKC16" s="301"/>
      <c r="AKD16" s="301"/>
      <c r="AKE16" s="301"/>
      <c r="AKF16" s="301"/>
      <c r="AKG16" s="301"/>
      <c r="AKH16" s="301"/>
      <c r="AKI16" s="301"/>
      <c r="AKJ16" s="301"/>
      <c r="AKK16" s="301"/>
      <c r="AKL16" s="301"/>
      <c r="AKM16" s="301"/>
      <c r="AKN16" s="301"/>
      <c r="AKO16" s="301"/>
      <c r="AKP16" s="301"/>
      <c r="AKQ16" s="301"/>
      <c r="AKR16" s="301"/>
      <c r="AKS16" s="301"/>
      <c r="AKT16" s="301"/>
      <c r="AKU16" s="301"/>
      <c r="AKV16" s="301"/>
      <c r="AKW16" s="301"/>
      <c r="AKX16" s="301"/>
      <c r="AKY16" s="301"/>
      <c r="AKZ16" s="301"/>
      <c r="ALA16" s="301"/>
      <c r="ALB16" s="301"/>
      <c r="ALC16" s="301"/>
      <c r="ALD16" s="301"/>
      <c r="ALE16" s="301"/>
      <c r="ALF16" s="301"/>
      <c r="ALG16" s="301"/>
      <c r="ALH16" s="301"/>
      <c r="ALI16" s="301"/>
      <c r="ALJ16" s="301"/>
      <c r="ALK16" s="301"/>
      <c r="ALL16" s="301"/>
      <c r="ALM16" s="301"/>
      <c r="ALN16" s="301"/>
      <c r="ALO16" s="301"/>
      <c r="ALP16" s="301"/>
      <c r="ALQ16" s="301"/>
      <c r="ALR16" s="301"/>
      <c r="ALS16" s="301"/>
      <c r="ALT16" s="301"/>
      <c r="ALU16" s="301"/>
      <c r="ALV16" s="301"/>
      <c r="ALW16" s="301"/>
      <c r="ALX16" s="301"/>
      <c r="ALY16" s="301"/>
      <c r="ALZ16" s="301"/>
      <c r="AMA16" s="301"/>
      <c r="AMB16" s="301"/>
      <c r="AMC16" s="301"/>
      <c r="AMD16" s="301"/>
      <c r="AME16" s="301"/>
      <c r="AMF16" s="301"/>
      <c r="AMG16" s="301"/>
      <c r="AMH16" s="301"/>
      <c r="AMI16" s="301"/>
      <c r="AMJ16" s="301"/>
    </row>
    <row r="17" customFormat="false" ht="7.85" hidden="false" customHeight="true" outlineLevel="0" collapsed="false">
      <c r="B17" s="319"/>
      <c r="C17" s="298"/>
      <c r="D17" s="298"/>
      <c r="E17" s="298"/>
      <c r="F17" s="319"/>
      <c r="G17" s="298"/>
      <c r="H17" s="319"/>
      <c r="I17" s="298"/>
    </row>
    <row r="18" customFormat="false" ht="12.8" hidden="false" customHeight="false" outlineLevel="0" collapsed="false">
      <c r="A18" s="320" t="s">
        <v>203</v>
      </c>
      <c r="B18" s="321" t="str">
        <f aca="false">IF(SUM(B11:B16),SUM(B11:B16),"")</f>
        <v/>
      </c>
      <c r="C18" s="322"/>
      <c r="D18" s="321" t="str">
        <f aca="false">IF(SUM(D11:D16),SUM(D11:D16),"")</f>
        <v/>
      </c>
      <c r="E18" s="322"/>
      <c r="F18" s="321" t="n">
        <f aca="false">IF(SUM(F11:F16),SUM(F11:F16),"")</f>
        <v>15</v>
      </c>
      <c r="G18" s="322"/>
      <c r="H18" s="321" t="str">
        <f aca="false">IF(SUM(H11:H16),SUM(H11:H16),"")</f>
        <v/>
      </c>
      <c r="I18" s="322"/>
      <c r="J18" s="321" t="n">
        <f aca="false">IF(SUM(J11:J16),SUM(J11:J16),"")</f>
        <v>180</v>
      </c>
      <c r="K18" s="323"/>
      <c r="L18" s="324"/>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c r="HV18" s="324"/>
      <c r="HW18" s="324"/>
      <c r="HX18" s="324"/>
      <c r="HY18" s="324"/>
      <c r="HZ18" s="324"/>
      <c r="IA18" s="324"/>
      <c r="IB18" s="324"/>
      <c r="IC18" s="324"/>
      <c r="ID18" s="324"/>
      <c r="IE18" s="324"/>
      <c r="IF18" s="324"/>
      <c r="IG18" s="324"/>
      <c r="IH18" s="324"/>
      <c r="II18" s="324"/>
      <c r="IJ18" s="324"/>
      <c r="IK18" s="324"/>
      <c r="IL18" s="324"/>
      <c r="IM18" s="324"/>
      <c r="IN18" s="324"/>
      <c r="IO18" s="324"/>
      <c r="IP18" s="324"/>
      <c r="IQ18" s="324"/>
      <c r="IR18" s="324"/>
      <c r="IS18" s="324"/>
      <c r="IT18" s="324"/>
      <c r="IU18" s="324"/>
      <c r="IV18" s="324"/>
      <c r="IW18" s="324"/>
      <c r="IX18" s="324"/>
      <c r="IY18" s="324"/>
      <c r="IZ18" s="324"/>
      <c r="JA18" s="324"/>
      <c r="JB18" s="324"/>
      <c r="JC18" s="324"/>
      <c r="JD18" s="324"/>
      <c r="JE18" s="324"/>
      <c r="JF18" s="324"/>
      <c r="JG18" s="324"/>
      <c r="JH18" s="324"/>
      <c r="JI18" s="324"/>
      <c r="JJ18" s="324"/>
      <c r="JK18" s="324"/>
      <c r="JL18" s="324"/>
      <c r="JM18" s="324"/>
      <c r="JN18" s="324"/>
      <c r="JO18" s="324"/>
      <c r="JP18" s="324"/>
      <c r="JQ18" s="324"/>
      <c r="JR18" s="324"/>
      <c r="JS18" s="324"/>
      <c r="JT18" s="324"/>
      <c r="JU18" s="324"/>
      <c r="JV18" s="324"/>
      <c r="JW18" s="324"/>
      <c r="JX18" s="324"/>
      <c r="JY18" s="324"/>
      <c r="JZ18" s="324"/>
      <c r="KA18" s="324"/>
      <c r="KB18" s="324"/>
      <c r="KC18" s="324"/>
      <c r="KD18" s="324"/>
      <c r="KE18" s="324"/>
      <c r="KF18" s="324"/>
      <c r="KG18" s="324"/>
      <c r="KH18" s="324"/>
      <c r="KI18" s="324"/>
      <c r="KJ18" s="324"/>
      <c r="KK18" s="324"/>
      <c r="KL18" s="324"/>
      <c r="KM18" s="324"/>
      <c r="KN18" s="324"/>
      <c r="KO18" s="324"/>
      <c r="KP18" s="324"/>
      <c r="KQ18" s="324"/>
      <c r="KR18" s="324"/>
      <c r="KS18" s="324"/>
      <c r="KT18" s="324"/>
      <c r="KU18" s="324"/>
      <c r="KV18" s="324"/>
      <c r="KW18" s="324"/>
      <c r="KX18" s="324"/>
      <c r="KY18" s="324"/>
      <c r="KZ18" s="324"/>
      <c r="LA18" s="324"/>
      <c r="LB18" s="324"/>
      <c r="LC18" s="324"/>
      <c r="LD18" s="324"/>
      <c r="LE18" s="324"/>
      <c r="LF18" s="324"/>
      <c r="LG18" s="324"/>
      <c r="LH18" s="324"/>
      <c r="LI18" s="324"/>
      <c r="LJ18" s="324"/>
      <c r="LK18" s="324"/>
      <c r="LL18" s="324"/>
      <c r="LM18" s="324"/>
      <c r="LN18" s="324"/>
      <c r="LO18" s="324"/>
      <c r="LP18" s="324"/>
      <c r="LQ18" s="324"/>
      <c r="LR18" s="324"/>
      <c r="LS18" s="324"/>
      <c r="LT18" s="324"/>
      <c r="LU18" s="324"/>
      <c r="LV18" s="324"/>
      <c r="LW18" s="324"/>
      <c r="LX18" s="324"/>
      <c r="LY18" s="324"/>
      <c r="LZ18" s="324"/>
      <c r="MA18" s="324"/>
      <c r="MB18" s="324"/>
      <c r="MC18" s="324"/>
      <c r="MD18" s="324"/>
      <c r="ME18" s="324"/>
      <c r="MF18" s="324"/>
      <c r="MG18" s="324"/>
      <c r="MH18" s="324"/>
      <c r="MI18" s="324"/>
      <c r="MJ18" s="324"/>
      <c r="MK18" s="324"/>
      <c r="ML18" s="324"/>
      <c r="MM18" s="324"/>
      <c r="MN18" s="324"/>
      <c r="MO18" s="324"/>
      <c r="MP18" s="324"/>
      <c r="MQ18" s="324"/>
      <c r="MR18" s="324"/>
      <c r="MS18" s="324"/>
      <c r="MT18" s="324"/>
      <c r="MU18" s="324"/>
      <c r="MV18" s="324"/>
      <c r="MW18" s="324"/>
      <c r="MX18" s="324"/>
      <c r="MY18" s="324"/>
      <c r="MZ18" s="324"/>
      <c r="NA18" s="324"/>
      <c r="NB18" s="324"/>
      <c r="NC18" s="324"/>
      <c r="ND18" s="324"/>
      <c r="NE18" s="324"/>
      <c r="NF18" s="324"/>
      <c r="NG18" s="324"/>
      <c r="NH18" s="324"/>
      <c r="NI18" s="324"/>
      <c r="NJ18" s="324"/>
      <c r="NK18" s="324"/>
      <c r="NL18" s="324"/>
      <c r="NM18" s="324"/>
      <c r="NN18" s="324"/>
      <c r="NO18" s="324"/>
      <c r="NP18" s="324"/>
      <c r="NQ18" s="324"/>
      <c r="NR18" s="324"/>
      <c r="NS18" s="324"/>
      <c r="NT18" s="324"/>
      <c r="NU18" s="324"/>
      <c r="NV18" s="324"/>
      <c r="NW18" s="324"/>
      <c r="NX18" s="324"/>
      <c r="NY18" s="324"/>
      <c r="NZ18" s="324"/>
      <c r="OA18" s="324"/>
      <c r="OB18" s="324"/>
      <c r="OC18" s="324"/>
      <c r="OD18" s="324"/>
      <c r="OE18" s="324"/>
      <c r="OF18" s="324"/>
      <c r="OG18" s="324"/>
      <c r="OH18" s="324"/>
      <c r="OI18" s="324"/>
      <c r="OJ18" s="324"/>
      <c r="OK18" s="324"/>
      <c r="OL18" s="324"/>
      <c r="OM18" s="324"/>
      <c r="ON18" s="324"/>
      <c r="OO18" s="324"/>
      <c r="OP18" s="324"/>
      <c r="OQ18" s="324"/>
      <c r="OR18" s="324"/>
      <c r="OS18" s="324"/>
      <c r="OT18" s="324"/>
      <c r="OU18" s="324"/>
      <c r="OV18" s="324"/>
      <c r="OW18" s="324"/>
      <c r="OX18" s="324"/>
      <c r="OY18" s="324"/>
      <c r="OZ18" s="324"/>
      <c r="PA18" s="324"/>
      <c r="PB18" s="324"/>
      <c r="PC18" s="324"/>
      <c r="PD18" s="324"/>
      <c r="PE18" s="324"/>
      <c r="PF18" s="324"/>
      <c r="PG18" s="324"/>
      <c r="PH18" s="324"/>
      <c r="PI18" s="324"/>
      <c r="PJ18" s="324"/>
      <c r="PK18" s="324"/>
      <c r="PL18" s="324"/>
      <c r="PM18" s="324"/>
      <c r="PN18" s="324"/>
      <c r="PO18" s="324"/>
      <c r="PP18" s="324"/>
      <c r="PQ18" s="324"/>
      <c r="PR18" s="324"/>
      <c r="PS18" s="324"/>
      <c r="PT18" s="324"/>
      <c r="PU18" s="324"/>
      <c r="PV18" s="324"/>
      <c r="PW18" s="324"/>
      <c r="PX18" s="324"/>
      <c r="PY18" s="324"/>
      <c r="PZ18" s="324"/>
      <c r="QA18" s="324"/>
      <c r="QB18" s="324"/>
      <c r="QC18" s="324"/>
      <c r="QD18" s="324"/>
      <c r="QE18" s="324"/>
      <c r="QF18" s="324"/>
      <c r="QG18" s="324"/>
      <c r="QH18" s="324"/>
      <c r="QI18" s="324"/>
      <c r="QJ18" s="324"/>
      <c r="QK18" s="324"/>
      <c r="QL18" s="324"/>
      <c r="QM18" s="324"/>
      <c r="QN18" s="324"/>
      <c r="QO18" s="324"/>
      <c r="QP18" s="324"/>
      <c r="QQ18" s="324"/>
      <c r="QR18" s="324"/>
      <c r="QS18" s="324"/>
      <c r="QT18" s="324"/>
      <c r="QU18" s="324"/>
      <c r="QV18" s="324"/>
      <c r="QW18" s="324"/>
      <c r="QX18" s="324"/>
      <c r="QY18" s="324"/>
      <c r="QZ18" s="324"/>
      <c r="RA18" s="324"/>
      <c r="RB18" s="324"/>
      <c r="RC18" s="324"/>
      <c r="RD18" s="324"/>
      <c r="RE18" s="324"/>
      <c r="RF18" s="324"/>
      <c r="RG18" s="324"/>
      <c r="RH18" s="324"/>
      <c r="RI18" s="324"/>
      <c r="RJ18" s="324"/>
      <c r="RK18" s="324"/>
      <c r="RL18" s="324"/>
      <c r="RM18" s="324"/>
      <c r="RN18" s="324"/>
      <c r="RO18" s="324"/>
      <c r="RP18" s="324"/>
      <c r="RQ18" s="324"/>
      <c r="RR18" s="324"/>
      <c r="RS18" s="324"/>
      <c r="RT18" s="324"/>
      <c r="RU18" s="324"/>
      <c r="RV18" s="324"/>
      <c r="RW18" s="324"/>
      <c r="RX18" s="324"/>
      <c r="RY18" s="324"/>
      <c r="RZ18" s="324"/>
      <c r="SA18" s="324"/>
      <c r="SB18" s="324"/>
      <c r="SC18" s="324"/>
      <c r="SD18" s="324"/>
      <c r="SE18" s="324"/>
      <c r="SF18" s="324"/>
      <c r="SG18" s="324"/>
      <c r="SH18" s="324"/>
      <c r="SI18" s="324"/>
      <c r="SJ18" s="324"/>
      <c r="SK18" s="324"/>
      <c r="SL18" s="324"/>
      <c r="SM18" s="324"/>
      <c r="SN18" s="324"/>
      <c r="SO18" s="324"/>
      <c r="SP18" s="324"/>
      <c r="SQ18" s="324"/>
      <c r="SR18" s="324"/>
      <c r="SS18" s="324"/>
      <c r="ST18" s="324"/>
      <c r="SU18" s="324"/>
      <c r="SV18" s="324"/>
      <c r="SW18" s="324"/>
      <c r="SX18" s="324"/>
      <c r="SY18" s="324"/>
      <c r="SZ18" s="324"/>
      <c r="TA18" s="324"/>
      <c r="TB18" s="324"/>
      <c r="TC18" s="324"/>
      <c r="TD18" s="324"/>
      <c r="TE18" s="324"/>
      <c r="TF18" s="324"/>
      <c r="TG18" s="324"/>
      <c r="TH18" s="324"/>
      <c r="TI18" s="324"/>
      <c r="TJ18" s="324"/>
      <c r="TK18" s="324"/>
      <c r="TL18" s="324"/>
      <c r="TM18" s="324"/>
      <c r="TN18" s="324"/>
      <c r="TO18" s="324"/>
      <c r="TP18" s="324"/>
      <c r="TQ18" s="324"/>
      <c r="TR18" s="324"/>
      <c r="TS18" s="324"/>
      <c r="TT18" s="324"/>
      <c r="TU18" s="324"/>
      <c r="TV18" s="324"/>
      <c r="TW18" s="324"/>
      <c r="TX18" s="324"/>
      <c r="TY18" s="324"/>
      <c r="TZ18" s="324"/>
      <c r="UA18" s="324"/>
      <c r="UB18" s="324"/>
      <c r="UC18" s="324"/>
      <c r="UD18" s="324"/>
      <c r="UE18" s="324"/>
      <c r="UF18" s="324"/>
      <c r="UG18" s="324"/>
      <c r="UH18" s="324"/>
      <c r="UI18" s="324"/>
      <c r="UJ18" s="324"/>
      <c r="UK18" s="324"/>
      <c r="UL18" s="324"/>
      <c r="UM18" s="324"/>
      <c r="UN18" s="324"/>
      <c r="UO18" s="324"/>
      <c r="UP18" s="324"/>
      <c r="UQ18" s="324"/>
      <c r="UR18" s="324"/>
      <c r="US18" s="324"/>
      <c r="UT18" s="324"/>
      <c r="UU18" s="324"/>
      <c r="UV18" s="324"/>
      <c r="UW18" s="324"/>
      <c r="UX18" s="324"/>
      <c r="UY18" s="324"/>
      <c r="UZ18" s="324"/>
      <c r="VA18" s="324"/>
      <c r="VB18" s="324"/>
      <c r="VC18" s="324"/>
      <c r="VD18" s="324"/>
      <c r="VE18" s="324"/>
      <c r="VF18" s="324"/>
      <c r="VG18" s="324"/>
      <c r="VH18" s="324"/>
      <c r="VI18" s="324"/>
      <c r="VJ18" s="324"/>
      <c r="VK18" s="324"/>
      <c r="VL18" s="324"/>
      <c r="VM18" s="324"/>
      <c r="VN18" s="324"/>
      <c r="VO18" s="324"/>
      <c r="VP18" s="324"/>
      <c r="VQ18" s="324"/>
      <c r="VR18" s="324"/>
      <c r="VS18" s="324"/>
      <c r="VT18" s="324"/>
      <c r="VU18" s="324"/>
      <c r="VV18" s="324"/>
      <c r="VW18" s="324"/>
      <c r="VX18" s="324"/>
      <c r="VY18" s="324"/>
      <c r="VZ18" s="324"/>
      <c r="WA18" s="324"/>
      <c r="WB18" s="324"/>
      <c r="WC18" s="324"/>
      <c r="WD18" s="324"/>
      <c r="WE18" s="324"/>
      <c r="WF18" s="324"/>
      <c r="WG18" s="324"/>
      <c r="WH18" s="324"/>
      <c r="WI18" s="324"/>
      <c r="WJ18" s="324"/>
      <c r="WK18" s="324"/>
      <c r="WL18" s="324"/>
      <c r="WM18" s="324"/>
      <c r="WN18" s="324"/>
      <c r="WO18" s="324"/>
      <c r="WP18" s="324"/>
      <c r="WQ18" s="324"/>
      <c r="WR18" s="324"/>
      <c r="WS18" s="324"/>
      <c r="WT18" s="324"/>
      <c r="WU18" s="324"/>
      <c r="WV18" s="324"/>
      <c r="WW18" s="324"/>
      <c r="WX18" s="324"/>
      <c r="WY18" s="324"/>
      <c r="WZ18" s="324"/>
      <c r="XA18" s="324"/>
      <c r="XB18" s="324"/>
      <c r="XC18" s="324"/>
      <c r="XD18" s="324"/>
      <c r="XE18" s="324"/>
      <c r="XF18" s="324"/>
      <c r="XG18" s="324"/>
      <c r="XH18" s="324"/>
      <c r="XI18" s="324"/>
      <c r="XJ18" s="324"/>
      <c r="XK18" s="324"/>
      <c r="XL18" s="324"/>
      <c r="XM18" s="324"/>
      <c r="XN18" s="324"/>
      <c r="XO18" s="324"/>
      <c r="XP18" s="324"/>
      <c r="XQ18" s="324"/>
      <c r="XR18" s="324"/>
      <c r="XS18" s="324"/>
      <c r="XT18" s="324"/>
      <c r="XU18" s="324"/>
      <c r="XV18" s="324"/>
      <c r="XW18" s="324"/>
      <c r="XX18" s="324"/>
      <c r="XY18" s="324"/>
      <c r="XZ18" s="324"/>
      <c r="YA18" s="324"/>
      <c r="YB18" s="324"/>
      <c r="YC18" s="324"/>
      <c r="YD18" s="324"/>
      <c r="YE18" s="324"/>
      <c r="YF18" s="324"/>
      <c r="YG18" s="324"/>
      <c r="YH18" s="324"/>
      <c r="YI18" s="324"/>
      <c r="YJ18" s="324"/>
      <c r="YK18" s="324"/>
      <c r="YL18" s="324"/>
      <c r="YM18" s="324"/>
      <c r="YN18" s="324"/>
      <c r="YO18" s="324"/>
      <c r="YP18" s="324"/>
      <c r="YQ18" s="324"/>
      <c r="YR18" s="324"/>
      <c r="YS18" s="324"/>
      <c r="YT18" s="324"/>
      <c r="YU18" s="324"/>
      <c r="YV18" s="324"/>
      <c r="YW18" s="324"/>
      <c r="YX18" s="324"/>
      <c r="YY18" s="324"/>
      <c r="YZ18" s="324"/>
      <c r="ZA18" s="324"/>
      <c r="ZB18" s="324"/>
      <c r="ZC18" s="324"/>
      <c r="ZD18" s="324"/>
      <c r="ZE18" s="324"/>
      <c r="ZF18" s="324"/>
      <c r="ZG18" s="324"/>
      <c r="ZH18" s="324"/>
      <c r="ZI18" s="324"/>
      <c r="ZJ18" s="324"/>
      <c r="ZK18" s="324"/>
      <c r="ZL18" s="324"/>
      <c r="ZM18" s="324"/>
      <c r="ZN18" s="324"/>
      <c r="ZO18" s="324"/>
      <c r="ZP18" s="324"/>
      <c r="ZQ18" s="324"/>
      <c r="ZR18" s="324"/>
      <c r="ZS18" s="324"/>
      <c r="ZT18" s="324"/>
      <c r="ZU18" s="324"/>
      <c r="ZV18" s="324"/>
      <c r="ZW18" s="324"/>
      <c r="ZX18" s="324"/>
      <c r="ZY18" s="324"/>
      <c r="ZZ18" s="324"/>
      <c r="AAA18" s="324"/>
      <c r="AAB18" s="324"/>
      <c r="AAC18" s="324"/>
      <c r="AAD18" s="324"/>
      <c r="AAE18" s="324"/>
      <c r="AAF18" s="324"/>
      <c r="AAG18" s="324"/>
      <c r="AAH18" s="324"/>
      <c r="AAI18" s="324"/>
      <c r="AAJ18" s="324"/>
      <c r="AAK18" s="324"/>
      <c r="AAL18" s="324"/>
      <c r="AAM18" s="324"/>
      <c r="AAN18" s="324"/>
      <c r="AAO18" s="324"/>
      <c r="AAP18" s="324"/>
      <c r="AAQ18" s="324"/>
      <c r="AAR18" s="324"/>
      <c r="AAS18" s="324"/>
      <c r="AAT18" s="324"/>
      <c r="AAU18" s="324"/>
      <c r="AAV18" s="324"/>
      <c r="AAW18" s="324"/>
      <c r="AAX18" s="324"/>
      <c r="AAY18" s="324"/>
      <c r="AAZ18" s="324"/>
      <c r="ABA18" s="324"/>
      <c r="ABB18" s="324"/>
      <c r="ABC18" s="324"/>
      <c r="ABD18" s="324"/>
      <c r="ABE18" s="324"/>
      <c r="ABF18" s="324"/>
      <c r="ABG18" s="324"/>
      <c r="ABH18" s="324"/>
      <c r="ABI18" s="324"/>
      <c r="ABJ18" s="324"/>
      <c r="ABK18" s="324"/>
      <c r="ABL18" s="324"/>
      <c r="ABM18" s="324"/>
      <c r="ABN18" s="324"/>
      <c r="ABO18" s="324"/>
      <c r="ABP18" s="324"/>
      <c r="ABQ18" s="324"/>
      <c r="ABR18" s="324"/>
      <c r="ABS18" s="324"/>
      <c r="ABT18" s="324"/>
      <c r="ABU18" s="324"/>
      <c r="ABV18" s="324"/>
      <c r="ABW18" s="324"/>
      <c r="ABX18" s="324"/>
      <c r="ABY18" s="324"/>
      <c r="ABZ18" s="324"/>
      <c r="ACA18" s="324"/>
      <c r="ACB18" s="324"/>
      <c r="ACC18" s="324"/>
      <c r="ACD18" s="324"/>
      <c r="ACE18" s="324"/>
      <c r="ACF18" s="324"/>
      <c r="ACG18" s="324"/>
      <c r="ACH18" s="324"/>
      <c r="ACI18" s="324"/>
      <c r="ACJ18" s="324"/>
      <c r="ACK18" s="324"/>
      <c r="ACL18" s="324"/>
      <c r="ACM18" s="324"/>
      <c r="ACN18" s="324"/>
      <c r="ACO18" s="324"/>
      <c r="ACP18" s="324"/>
      <c r="ACQ18" s="324"/>
      <c r="ACR18" s="324"/>
      <c r="ACS18" s="324"/>
      <c r="ACT18" s="324"/>
      <c r="ACU18" s="324"/>
      <c r="ACV18" s="324"/>
      <c r="ACW18" s="324"/>
      <c r="ACX18" s="324"/>
      <c r="ACY18" s="324"/>
      <c r="ACZ18" s="324"/>
      <c r="ADA18" s="324"/>
      <c r="ADB18" s="324"/>
      <c r="ADC18" s="324"/>
      <c r="ADD18" s="324"/>
      <c r="ADE18" s="324"/>
      <c r="ADF18" s="324"/>
      <c r="ADG18" s="324"/>
      <c r="ADH18" s="324"/>
      <c r="ADI18" s="324"/>
      <c r="ADJ18" s="324"/>
      <c r="ADK18" s="324"/>
      <c r="ADL18" s="324"/>
      <c r="ADM18" s="324"/>
      <c r="ADN18" s="324"/>
      <c r="ADO18" s="324"/>
      <c r="ADP18" s="324"/>
      <c r="ADQ18" s="324"/>
      <c r="ADR18" s="324"/>
      <c r="ADS18" s="324"/>
      <c r="ADT18" s="324"/>
      <c r="ADU18" s="324"/>
      <c r="ADV18" s="324"/>
      <c r="ADW18" s="324"/>
      <c r="ADX18" s="324"/>
      <c r="ADY18" s="324"/>
      <c r="ADZ18" s="324"/>
      <c r="AEA18" s="324"/>
      <c r="AEB18" s="324"/>
      <c r="AEC18" s="324"/>
      <c r="AED18" s="324"/>
      <c r="AEE18" s="324"/>
      <c r="AEF18" s="324"/>
      <c r="AEG18" s="324"/>
      <c r="AEH18" s="324"/>
      <c r="AEI18" s="324"/>
      <c r="AEJ18" s="324"/>
      <c r="AEK18" s="324"/>
      <c r="AEL18" s="324"/>
      <c r="AEM18" s="324"/>
      <c r="AEN18" s="324"/>
      <c r="AEO18" s="324"/>
      <c r="AEP18" s="324"/>
      <c r="AEQ18" s="324"/>
      <c r="AER18" s="324"/>
      <c r="AES18" s="324"/>
      <c r="AET18" s="324"/>
      <c r="AEU18" s="324"/>
      <c r="AEV18" s="324"/>
      <c r="AEW18" s="324"/>
      <c r="AEX18" s="324"/>
      <c r="AEY18" s="324"/>
      <c r="AEZ18" s="324"/>
      <c r="AFA18" s="324"/>
      <c r="AFB18" s="324"/>
      <c r="AFC18" s="324"/>
      <c r="AFD18" s="324"/>
      <c r="AFE18" s="324"/>
      <c r="AFF18" s="324"/>
      <c r="AFG18" s="324"/>
      <c r="AFH18" s="324"/>
      <c r="AFI18" s="324"/>
      <c r="AFJ18" s="324"/>
      <c r="AFK18" s="324"/>
      <c r="AFL18" s="324"/>
      <c r="AFM18" s="324"/>
      <c r="AFN18" s="324"/>
      <c r="AFO18" s="324"/>
      <c r="AFP18" s="324"/>
      <c r="AFQ18" s="324"/>
      <c r="AFR18" s="324"/>
      <c r="AFS18" s="324"/>
      <c r="AFT18" s="324"/>
      <c r="AFU18" s="324"/>
      <c r="AFV18" s="324"/>
      <c r="AFW18" s="324"/>
      <c r="AFX18" s="324"/>
      <c r="AFY18" s="324"/>
      <c r="AFZ18" s="324"/>
      <c r="AGA18" s="324"/>
      <c r="AGB18" s="324"/>
      <c r="AGC18" s="324"/>
      <c r="AGD18" s="324"/>
      <c r="AGE18" s="324"/>
      <c r="AGF18" s="324"/>
      <c r="AGG18" s="324"/>
      <c r="AGH18" s="324"/>
      <c r="AGI18" s="324"/>
      <c r="AGJ18" s="324"/>
      <c r="AGK18" s="324"/>
      <c r="AGL18" s="324"/>
      <c r="AGM18" s="324"/>
      <c r="AGN18" s="324"/>
      <c r="AGO18" s="324"/>
      <c r="AGP18" s="324"/>
      <c r="AGQ18" s="324"/>
      <c r="AGR18" s="324"/>
      <c r="AGS18" s="324"/>
      <c r="AGT18" s="324"/>
      <c r="AGU18" s="324"/>
      <c r="AGV18" s="324"/>
      <c r="AGW18" s="324"/>
      <c r="AGX18" s="324"/>
      <c r="AGY18" s="324"/>
      <c r="AGZ18" s="324"/>
      <c r="AHA18" s="324"/>
      <c r="AHB18" s="324"/>
      <c r="AHC18" s="324"/>
      <c r="AHD18" s="324"/>
      <c r="AHE18" s="324"/>
      <c r="AHF18" s="324"/>
      <c r="AHG18" s="324"/>
      <c r="AHH18" s="324"/>
      <c r="AHI18" s="324"/>
      <c r="AHJ18" s="324"/>
      <c r="AHK18" s="324"/>
      <c r="AHL18" s="324"/>
      <c r="AHM18" s="324"/>
      <c r="AHN18" s="324"/>
      <c r="AHO18" s="324"/>
      <c r="AHP18" s="324"/>
      <c r="AHQ18" s="324"/>
      <c r="AHR18" s="324"/>
      <c r="AHS18" s="324"/>
      <c r="AHT18" s="324"/>
      <c r="AHU18" s="324"/>
      <c r="AHV18" s="324"/>
      <c r="AHW18" s="324"/>
      <c r="AHX18" s="324"/>
      <c r="AHY18" s="324"/>
      <c r="AHZ18" s="324"/>
      <c r="AIA18" s="324"/>
      <c r="AIB18" s="324"/>
      <c r="AIC18" s="324"/>
      <c r="AID18" s="324"/>
      <c r="AIE18" s="324"/>
      <c r="AIF18" s="324"/>
      <c r="AIG18" s="324"/>
      <c r="AIH18" s="324"/>
      <c r="AII18" s="324"/>
      <c r="AIJ18" s="324"/>
      <c r="AIK18" s="324"/>
      <c r="AIL18" s="324"/>
      <c r="AIM18" s="324"/>
      <c r="AIN18" s="324"/>
      <c r="AIO18" s="324"/>
      <c r="AIP18" s="324"/>
      <c r="AIQ18" s="324"/>
      <c r="AIR18" s="324"/>
      <c r="AIS18" s="324"/>
      <c r="AIT18" s="324"/>
      <c r="AIU18" s="324"/>
      <c r="AIV18" s="324"/>
      <c r="AIW18" s="324"/>
      <c r="AIX18" s="324"/>
      <c r="AIY18" s="324"/>
      <c r="AIZ18" s="324"/>
      <c r="AJA18" s="324"/>
      <c r="AJB18" s="324"/>
      <c r="AJC18" s="324"/>
      <c r="AJD18" s="324"/>
      <c r="AJE18" s="324"/>
      <c r="AJF18" s="324"/>
      <c r="AJG18" s="324"/>
      <c r="AJH18" s="324"/>
      <c r="AJI18" s="324"/>
      <c r="AJJ18" s="324"/>
      <c r="AJK18" s="324"/>
      <c r="AJL18" s="324"/>
      <c r="AJM18" s="324"/>
      <c r="AJN18" s="324"/>
      <c r="AJO18" s="324"/>
      <c r="AJP18" s="324"/>
      <c r="AJQ18" s="324"/>
      <c r="AJR18" s="324"/>
      <c r="AJS18" s="324"/>
      <c r="AJT18" s="324"/>
      <c r="AJU18" s="324"/>
      <c r="AJV18" s="324"/>
      <c r="AJW18" s="324"/>
      <c r="AJX18" s="324"/>
      <c r="AJY18" s="324"/>
      <c r="AJZ18" s="324"/>
      <c r="AKA18" s="324"/>
      <c r="AKB18" s="324"/>
      <c r="AKC18" s="324"/>
      <c r="AKD18" s="324"/>
      <c r="AKE18" s="324"/>
      <c r="AKF18" s="324"/>
      <c r="AKG18" s="324"/>
      <c r="AKH18" s="324"/>
      <c r="AKI18" s="324"/>
      <c r="AKJ18" s="324"/>
      <c r="AKK18" s="324"/>
      <c r="AKL18" s="324"/>
      <c r="AKM18" s="324"/>
      <c r="AKN18" s="324"/>
      <c r="AKO18" s="324"/>
      <c r="AKP18" s="324"/>
      <c r="AKQ18" s="324"/>
      <c r="AKR18" s="324"/>
      <c r="AKS18" s="324"/>
      <c r="AKT18" s="324"/>
      <c r="AKU18" s="324"/>
      <c r="AKV18" s="324"/>
      <c r="AKW18" s="324"/>
      <c r="AKX18" s="324"/>
      <c r="AKY18" s="324"/>
      <c r="AKZ18" s="324"/>
      <c r="ALA18" s="324"/>
      <c r="ALB18" s="324"/>
      <c r="ALC18" s="324"/>
      <c r="ALD18" s="324"/>
      <c r="ALE18" s="324"/>
      <c r="ALF18" s="324"/>
      <c r="ALG18" s="324"/>
      <c r="ALH18" s="324"/>
      <c r="ALI18" s="324"/>
      <c r="ALJ18" s="324"/>
      <c r="ALK18" s="324"/>
      <c r="ALL18" s="324"/>
      <c r="ALM18" s="324"/>
      <c r="ALN18" s="324"/>
      <c r="ALO18" s="324"/>
      <c r="ALP18" s="324"/>
      <c r="ALQ18" s="324"/>
      <c r="ALR18" s="324"/>
      <c r="ALS18" s="324"/>
      <c r="ALT18" s="324"/>
      <c r="ALU18" s="324"/>
      <c r="ALV18" s="324"/>
      <c r="ALW18" s="324"/>
      <c r="ALX18" s="324"/>
      <c r="ALY18" s="324"/>
      <c r="ALZ18" s="324"/>
      <c r="AMA18" s="324"/>
      <c r="AMB18" s="324"/>
      <c r="AMC18" s="324"/>
      <c r="AMD18" s="324"/>
      <c r="AME18" s="324"/>
      <c r="AMF18" s="324"/>
      <c r="AMG18" s="324"/>
      <c r="AMH18" s="324"/>
      <c r="AMI18" s="324"/>
      <c r="AMJ18" s="324"/>
    </row>
    <row r="20" customFormat="false" ht="12.8" hidden="false" customHeight="false" outlineLevel="0" collapsed="false">
      <c r="A20" s="294" t="s">
        <v>204</v>
      </c>
      <c r="B20" s="295"/>
      <c r="C20" s="295"/>
      <c r="D20" s="295"/>
      <c r="E20" s="295"/>
      <c r="F20" s="295"/>
      <c r="G20" s="295"/>
      <c r="H20" s="295"/>
      <c r="I20" s="295"/>
      <c r="J20" s="295"/>
      <c r="K20" s="295"/>
      <c r="L20" s="296"/>
      <c r="M20" s="296"/>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96"/>
      <c r="AS20" s="296"/>
      <c r="AT20" s="296"/>
      <c r="AU20" s="296"/>
      <c r="AV20" s="296"/>
      <c r="AW20" s="296"/>
      <c r="AX20" s="296"/>
      <c r="AY20" s="296"/>
      <c r="AZ20" s="296"/>
      <c r="BA20" s="296"/>
      <c r="BB20" s="296"/>
      <c r="BC20" s="296"/>
      <c r="BD20" s="296"/>
      <c r="BE20" s="296"/>
      <c r="BF20" s="296"/>
      <c r="BG20" s="296"/>
      <c r="BH20" s="296"/>
      <c r="BI20" s="296"/>
      <c r="BJ20" s="296"/>
      <c r="BK20" s="296"/>
      <c r="BL20" s="296"/>
      <c r="BM20" s="296"/>
      <c r="BN20" s="296"/>
      <c r="BO20" s="296"/>
      <c r="BP20" s="296"/>
      <c r="BQ20" s="296"/>
      <c r="BR20" s="296"/>
      <c r="BS20" s="296"/>
      <c r="BT20" s="296"/>
      <c r="BU20" s="296"/>
      <c r="BV20" s="296"/>
      <c r="BW20" s="296"/>
      <c r="BX20" s="296"/>
      <c r="BY20" s="296"/>
      <c r="BZ20" s="296"/>
      <c r="CA20" s="296"/>
      <c r="CB20" s="296"/>
      <c r="CC20" s="296"/>
      <c r="CD20" s="296"/>
      <c r="CE20" s="296"/>
      <c r="CF20" s="296"/>
      <c r="CG20" s="296"/>
      <c r="CH20" s="296"/>
      <c r="CI20" s="296"/>
      <c r="CJ20" s="296"/>
      <c r="CK20" s="296"/>
      <c r="CL20" s="296"/>
      <c r="CM20" s="296"/>
      <c r="CN20" s="296"/>
      <c r="CO20" s="296"/>
      <c r="CP20" s="296"/>
      <c r="CQ20" s="296"/>
      <c r="CR20" s="296"/>
      <c r="CS20" s="296"/>
      <c r="CT20" s="296"/>
      <c r="CU20" s="296"/>
      <c r="CV20" s="296"/>
      <c r="CW20" s="296"/>
      <c r="CX20" s="296"/>
      <c r="CY20" s="296"/>
      <c r="CZ20" s="296"/>
      <c r="DA20" s="296"/>
      <c r="DB20" s="296"/>
      <c r="DC20" s="296"/>
      <c r="DD20" s="296"/>
      <c r="DE20" s="296"/>
      <c r="DF20" s="296"/>
      <c r="DG20" s="296"/>
      <c r="DH20" s="296"/>
      <c r="DI20" s="296"/>
      <c r="DJ20" s="296"/>
      <c r="DK20" s="296"/>
      <c r="DL20" s="296"/>
      <c r="DM20" s="296"/>
      <c r="DN20" s="296"/>
      <c r="DO20" s="296"/>
      <c r="DP20" s="296"/>
      <c r="DQ20" s="296"/>
      <c r="DR20" s="296"/>
      <c r="DS20" s="296"/>
      <c r="DT20" s="296"/>
      <c r="DU20" s="296"/>
      <c r="DV20" s="296"/>
      <c r="DW20" s="296"/>
      <c r="DX20" s="296"/>
      <c r="DY20" s="296"/>
      <c r="DZ20" s="296"/>
      <c r="EA20" s="296"/>
      <c r="EB20" s="296"/>
      <c r="EC20" s="296"/>
      <c r="ED20" s="296"/>
      <c r="EE20" s="296"/>
      <c r="EF20" s="296"/>
      <c r="EG20" s="296"/>
      <c r="EH20" s="296"/>
      <c r="EI20" s="296"/>
      <c r="EJ20" s="296"/>
      <c r="EK20" s="296"/>
      <c r="EL20" s="296"/>
      <c r="EM20" s="296"/>
      <c r="EN20" s="296"/>
      <c r="EO20" s="296"/>
      <c r="EP20" s="296"/>
      <c r="EQ20" s="296"/>
      <c r="ER20" s="296"/>
      <c r="ES20" s="296"/>
      <c r="ET20" s="296"/>
      <c r="EU20" s="296"/>
      <c r="EV20" s="296"/>
      <c r="EW20" s="296"/>
      <c r="EX20" s="296"/>
      <c r="EY20" s="296"/>
      <c r="EZ20" s="296"/>
      <c r="FA20" s="296"/>
      <c r="FB20" s="296"/>
      <c r="FC20" s="296"/>
      <c r="FD20" s="296"/>
      <c r="FE20" s="296"/>
      <c r="FF20" s="296"/>
      <c r="FG20" s="296"/>
      <c r="FH20" s="296"/>
      <c r="FI20" s="296"/>
      <c r="FJ20" s="296"/>
      <c r="FK20" s="296"/>
      <c r="FL20" s="296"/>
      <c r="FM20" s="296"/>
      <c r="FN20" s="296"/>
      <c r="FO20" s="296"/>
      <c r="FP20" s="296"/>
      <c r="FQ20" s="296"/>
      <c r="FR20" s="296"/>
      <c r="FS20" s="296"/>
      <c r="FT20" s="296"/>
      <c r="FU20" s="296"/>
      <c r="FV20" s="296"/>
      <c r="FW20" s="296"/>
      <c r="FX20" s="296"/>
      <c r="FY20" s="296"/>
      <c r="FZ20" s="296"/>
      <c r="GA20" s="296"/>
      <c r="GB20" s="296"/>
      <c r="GC20" s="296"/>
      <c r="GD20" s="296"/>
      <c r="GE20" s="296"/>
      <c r="GF20" s="296"/>
      <c r="GG20" s="296"/>
      <c r="GH20" s="296"/>
      <c r="GI20" s="296"/>
      <c r="GJ20" s="296"/>
      <c r="GK20" s="296"/>
      <c r="GL20" s="296"/>
      <c r="GM20" s="296"/>
      <c r="GN20" s="296"/>
      <c r="GO20" s="296"/>
      <c r="GP20" s="296"/>
      <c r="GQ20" s="296"/>
      <c r="GR20" s="296"/>
      <c r="GS20" s="296"/>
      <c r="GT20" s="296"/>
      <c r="GU20" s="296"/>
      <c r="GV20" s="296"/>
      <c r="GW20" s="296"/>
      <c r="GX20" s="296"/>
      <c r="GY20" s="296"/>
      <c r="GZ20" s="296"/>
      <c r="HA20" s="296"/>
      <c r="HB20" s="296"/>
      <c r="HC20" s="296"/>
      <c r="HD20" s="296"/>
      <c r="HE20" s="296"/>
      <c r="HF20" s="296"/>
      <c r="HG20" s="296"/>
      <c r="HH20" s="296"/>
      <c r="HI20" s="296"/>
      <c r="HJ20" s="296"/>
      <c r="HK20" s="296"/>
      <c r="HL20" s="296"/>
      <c r="HM20" s="296"/>
      <c r="HN20" s="296"/>
      <c r="HO20" s="296"/>
      <c r="HP20" s="296"/>
      <c r="HQ20" s="296"/>
      <c r="HR20" s="296"/>
      <c r="HS20" s="296"/>
      <c r="HT20" s="296"/>
      <c r="HU20" s="296"/>
      <c r="HV20" s="296"/>
      <c r="HW20" s="296"/>
      <c r="HX20" s="296"/>
      <c r="HY20" s="296"/>
      <c r="HZ20" s="296"/>
      <c r="IA20" s="296"/>
      <c r="IB20" s="296"/>
      <c r="IC20" s="296"/>
      <c r="ID20" s="296"/>
      <c r="IE20" s="296"/>
      <c r="IF20" s="296"/>
      <c r="IG20" s="296"/>
      <c r="IH20" s="296"/>
      <c r="II20" s="296"/>
      <c r="IJ20" s="296"/>
      <c r="IK20" s="296"/>
      <c r="IL20" s="296"/>
      <c r="IM20" s="296"/>
      <c r="IN20" s="296"/>
      <c r="IO20" s="296"/>
      <c r="IP20" s="296"/>
      <c r="IQ20" s="296"/>
      <c r="IR20" s="296"/>
      <c r="IS20" s="296"/>
      <c r="IT20" s="296"/>
      <c r="IU20" s="296"/>
      <c r="IV20" s="296"/>
      <c r="IW20" s="296"/>
      <c r="IX20" s="296"/>
      <c r="IY20" s="296"/>
      <c r="IZ20" s="296"/>
      <c r="JA20" s="296"/>
      <c r="JB20" s="296"/>
      <c r="JC20" s="296"/>
      <c r="JD20" s="296"/>
      <c r="JE20" s="296"/>
      <c r="JF20" s="296"/>
      <c r="JG20" s="296"/>
      <c r="JH20" s="296"/>
      <c r="JI20" s="296"/>
      <c r="JJ20" s="296"/>
      <c r="JK20" s="296"/>
      <c r="JL20" s="296"/>
      <c r="JM20" s="296"/>
      <c r="JN20" s="296"/>
      <c r="JO20" s="296"/>
      <c r="JP20" s="296"/>
      <c r="JQ20" s="296"/>
      <c r="JR20" s="296"/>
      <c r="JS20" s="296"/>
      <c r="JT20" s="296"/>
      <c r="JU20" s="296"/>
      <c r="JV20" s="296"/>
      <c r="JW20" s="296"/>
      <c r="JX20" s="296"/>
      <c r="JY20" s="296"/>
      <c r="JZ20" s="296"/>
      <c r="KA20" s="296"/>
      <c r="KB20" s="296"/>
      <c r="KC20" s="296"/>
      <c r="KD20" s="296"/>
      <c r="KE20" s="296"/>
      <c r="KF20" s="296"/>
      <c r="KG20" s="296"/>
      <c r="KH20" s="296"/>
      <c r="KI20" s="296"/>
      <c r="KJ20" s="296"/>
      <c r="KK20" s="296"/>
      <c r="KL20" s="296"/>
      <c r="KM20" s="296"/>
      <c r="KN20" s="296"/>
      <c r="KO20" s="296"/>
      <c r="KP20" s="296"/>
      <c r="KQ20" s="296"/>
      <c r="KR20" s="296"/>
      <c r="KS20" s="296"/>
      <c r="KT20" s="296"/>
      <c r="KU20" s="296"/>
      <c r="KV20" s="296"/>
      <c r="KW20" s="296"/>
      <c r="KX20" s="296"/>
      <c r="KY20" s="296"/>
      <c r="KZ20" s="296"/>
      <c r="LA20" s="296"/>
      <c r="LB20" s="296"/>
      <c r="LC20" s="296"/>
      <c r="LD20" s="296"/>
      <c r="LE20" s="296"/>
      <c r="LF20" s="296"/>
      <c r="LG20" s="296"/>
      <c r="LH20" s="296"/>
      <c r="LI20" s="296"/>
      <c r="LJ20" s="296"/>
      <c r="LK20" s="296"/>
      <c r="LL20" s="296"/>
      <c r="LM20" s="296"/>
      <c r="LN20" s="296"/>
      <c r="LO20" s="296"/>
      <c r="LP20" s="296"/>
      <c r="LQ20" s="296"/>
      <c r="LR20" s="296"/>
      <c r="LS20" s="296"/>
      <c r="LT20" s="296"/>
      <c r="LU20" s="296"/>
      <c r="LV20" s="296"/>
      <c r="LW20" s="296"/>
      <c r="LX20" s="296"/>
      <c r="LY20" s="296"/>
      <c r="LZ20" s="296"/>
      <c r="MA20" s="296"/>
      <c r="MB20" s="296"/>
      <c r="MC20" s="296"/>
      <c r="MD20" s="296"/>
      <c r="ME20" s="296"/>
      <c r="MF20" s="296"/>
      <c r="MG20" s="296"/>
      <c r="MH20" s="296"/>
      <c r="MI20" s="296"/>
      <c r="MJ20" s="296"/>
      <c r="MK20" s="296"/>
      <c r="ML20" s="296"/>
      <c r="MM20" s="296"/>
      <c r="MN20" s="296"/>
      <c r="MO20" s="296"/>
      <c r="MP20" s="296"/>
      <c r="MQ20" s="296"/>
      <c r="MR20" s="296"/>
      <c r="MS20" s="296"/>
      <c r="MT20" s="296"/>
      <c r="MU20" s="296"/>
      <c r="MV20" s="296"/>
      <c r="MW20" s="296"/>
      <c r="MX20" s="296"/>
      <c r="MY20" s="296"/>
      <c r="MZ20" s="296"/>
      <c r="NA20" s="296"/>
      <c r="NB20" s="296"/>
      <c r="NC20" s="296"/>
      <c r="ND20" s="296"/>
      <c r="NE20" s="296"/>
      <c r="NF20" s="296"/>
      <c r="NG20" s="296"/>
      <c r="NH20" s="296"/>
      <c r="NI20" s="296"/>
      <c r="NJ20" s="296"/>
      <c r="NK20" s="296"/>
      <c r="NL20" s="296"/>
      <c r="NM20" s="296"/>
      <c r="NN20" s="296"/>
      <c r="NO20" s="296"/>
      <c r="NP20" s="296"/>
      <c r="NQ20" s="296"/>
      <c r="NR20" s="296"/>
      <c r="NS20" s="296"/>
      <c r="NT20" s="296"/>
      <c r="NU20" s="296"/>
      <c r="NV20" s="296"/>
      <c r="NW20" s="296"/>
      <c r="NX20" s="296"/>
      <c r="NY20" s="296"/>
      <c r="NZ20" s="296"/>
      <c r="OA20" s="296"/>
      <c r="OB20" s="296"/>
      <c r="OC20" s="296"/>
      <c r="OD20" s="296"/>
      <c r="OE20" s="296"/>
      <c r="OF20" s="296"/>
      <c r="OG20" s="296"/>
      <c r="OH20" s="296"/>
      <c r="OI20" s="296"/>
      <c r="OJ20" s="296"/>
      <c r="OK20" s="296"/>
      <c r="OL20" s="296"/>
      <c r="OM20" s="296"/>
      <c r="ON20" s="296"/>
      <c r="OO20" s="296"/>
      <c r="OP20" s="296"/>
      <c r="OQ20" s="296"/>
      <c r="OR20" s="296"/>
      <c r="OS20" s="296"/>
      <c r="OT20" s="296"/>
      <c r="OU20" s="296"/>
      <c r="OV20" s="296"/>
      <c r="OW20" s="296"/>
      <c r="OX20" s="296"/>
      <c r="OY20" s="296"/>
      <c r="OZ20" s="296"/>
      <c r="PA20" s="296"/>
      <c r="PB20" s="296"/>
      <c r="PC20" s="296"/>
      <c r="PD20" s="296"/>
      <c r="PE20" s="296"/>
      <c r="PF20" s="296"/>
      <c r="PG20" s="296"/>
      <c r="PH20" s="296"/>
      <c r="PI20" s="296"/>
      <c r="PJ20" s="296"/>
      <c r="PK20" s="296"/>
      <c r="PL20" s="296"/>
      <c r="PM20" s="296"/>
      <c r="PN20" s="296"/>
      <c r="PO20" s="296"/>
      <c r="PP20" s="296"/>
      <c r="PQ20" s="296"/>
      <c r="PR20" s="296"/>
      <c r="PS20" s="296"/>
      <c r="PT20" s="296"/>
      <c r="PU20" s="296"/>
      <c r="PV20" s="296"/>
      <c r="PW20" s="296"/>
      <c r="PX20" s="296"/>
      <c r="PY20" s="296"/>
      <c r="PZ20" s="296"/>
      <c r="QA20" s="296"/>
      <c r="QB20" s="296"/>
      <c r="QC20" s="296"/>
      <c r="QD20" s="296"/>
      <c r="QE20" s="296"/>
      <c r="QF20" s="296"/>
      <c r="QG20" s="296"/>
      <c r="QH20" s="296"/>
      <c r="QI20" s="296"/>
      <c r="QJ20" s="296"/>
      <c r="QK20" s="296"/>
      <c r="QL20" s="296"/>
      <c r="QM20" s="296"/>
      <c r="QN20" s="296"/>
      <c r="QO20" s="296"/>
      <c r="QP20" s="296"/>
      <c r="QQ20" s="296"/>
      <c r="QR20" s="296"/>
      <c r="QS20" s="296"/>
      <c r="QT20" s="296"/>
      <c r="QU20" s="296"/>
      <c r="QV20" s="296"/>
      <c r="QW20" s="296"/>
      <c r="QX20" s="296"/>
      <c r="QY20" s="296"/>
      <c r="QZ20" s="296"/>
      <c r="RA20" s="296"/>
      <c r="RB20" s="296"/>
      <c r="RC20" s="296"/>
      <c r="RD20" s="296"/>
      <c r="RE20" s="296"/>
      <c r="RF20" s="296"/>
      <c r="RG20" s="296"/>
      <c r="RH20" s="296"/>
      <c r="RI20" s="296"/>
      <c r="RJ20" s="296"/>
      <c r="RK20" s="296"/>
      <c r="RL20" s="296"/>
      <c r="RM20" s="296"/>
      <c r="RN20" s="296"/>
      <c r="RO20" s="296"/>
      <c r="RP20" s="296"/>
      <c r="RQ20" s="296"/>
      <c r="RR20" s="296"/>
      <c r="RS20" s="296"/>
      <c r="RT20" s="296"/>
      <c r="RU20" s="296"/>
      <c r="RV20" s="296"/>
      <c r="RW20" s="296"/>
      <c r="RX20" s="296"/>
      <c r="RY20" s="296"/>
      <c r="RZ20" s="296"/>
      <c r="SA20" s="296"/>
      <c r="SB20" s="296"/>
      <c r="SC20" s="296"/>
      <c r="SD20" s="296"/>
      <c r="SE20" s="296"/>
      <c r="SF20" s="296"/>
      <c r="SG20" s="296"/>
      <c r="SH20" s="296"/>
      <c r="SI20" s="296"/>
      <c r="SJ20" s="296"/>
      <c r="SK20" s="296"/>
      <c r="SL20" s="296"/>
      <c r="SM20" s="296"/>
      <c r="SN20" s="296"/>
      <c r="SO20" s="296"/>
      <c r="SP20" s="296"/>
      <c r="SQ20" s="296"/>
      <c r="SR20" s="296"/>
      <c r="SS20" s="296"/>
      <c r="ST20" s="296"/>
      <c r="SU20" s="296"/>
      <c r="SV20" s="296"/>
      <c r="SW20" s="296"/>
      <c r="SX20" s="296"/>
      <c r="SY20" s="296"/>
      <c r="SZ20" s="296"/>
      <c r="TA20" s="296"/>
      <c r="TB20" s="296"/>
      <c r="TC20" s="296"/>
      <c r="TD20" s="296"/>
      <c r="TE20" s="296"/>
      <c r="TF20" s="296"/>
      <c r="TG20" s="296"/>
      <c r="TH20" s="296"/>
      <c r="TI20" s="296"/>
      <c r="TJ20" s="296"/>
      <c r="TK20" s="296"/>
      <c r="TL20" s="296"/>
      <c r="TM20" s="296"/>
      <c r="TN20" s="296"/>
      <c r="TO20" s="296"/>
      <c r="TP20" s="296"/>
      <c r="TQ20" s="296"/>
      <c r="TR20" s="296"/>
      <c r="TS20" s="296"/>
      <c r="TT20" s="296"/>
      <c r="TU20" s="296"/>
      <c r="TV20" s="296"/>
      <c r="TW20" s="296"/>
      <c r="TX20" s="296"/>
      <c r="TY20" s="296"/>
      <c r="TZ20" s="296"/>
      <c r="UA20" s="296"/>
      <c r="UB20" s="296"/>
      <c r="UC20" s="296"/>
      <c r="UD20" s="296"/>
      <c r="UE20" s="296"/>
      <c r="UF20" s="296"/>
      <c r="UG20" s="296"/>
      <c r="UH20" s="296"/>
      <c r="UI20" s="296"/>
      <c r="UJ20" s="296"/>
      <c r="UK20" s="296"/>
      <c r="UL20" s="296"/>
      <c r="UM20" s="296"/>
      <c r="UN20" s="296"/>
      <c r="UO20" s="296"/>
      <c r="UP20" s="296"/>
      <c r="UQ20" s="296"/>
      <c r="UR20" s="296"/>
      <c r="US20" s="296"/>
      <c r="UT20" s="296"/>
      <c r="UU20" s="296"/>
      <c r="UV20" s="296"/>
      <c r="UW20" s="296"/>
      <c r="UX20" s="296"/>
      <c r="UY20" s="296"/>
      <c r="UZ20" s="296"/>
      <c r="VA20" s="296"/>
      <c r="VB20" s="296"/>
      <c r="VC20" s="296"/>
      <c r="VD20" s="296"/>
      <c r="VE20" s="296"/>
      <c r="VF20" s="296"/>
      <c r="VG20" s="296"/>
      <c r="VH20" s="296"/>
      <c r="VI20" s="296"/>
      <c r="VJ20" s="296"/>
      <c r="VK20" s="296"/>
      <c r="VL20" s="296"/>
      <c r="VM20" s="296"/>
      <c r="VN20" s="296"/>
      <c r="VO20" s="296"/>
      <c r="VP20" s="296"/>
      <c r="VQ20" s="296"/>
      <c r="VR20" s="296"/>
      <c r="VS20" s="296"/>
      <c r="VT20" s="296"/>
      <c r="VU20" s="296"/>
      <c r="VV20" s="296"/>
      <c r="VW20" s="296"/>
      <c r="VX20" s="296"/>
      <c r="VY20" s="296"/>
      <c r="VZ20" s="296"/>
      <c r="WA20" s="296"/>
      <c r="WB20" s="296"/>
      <c r="WC20" s="296"/>
      <c r="WD20" s="296"/>
      <c r="WE20" s="296"/>
      <c r="WF20" s="296"/>
      <c r="WG20" s="296"/>
      <c r="WH20" s="296"/>
      <c r="WI20" s="296"/>
      <c r="WJ20" s="296"/>
      <c r="WK20" s="296"/>
      <c r="WL20" s="296"/>
      <c r="WM20" s="296"/>
      <c r="WN20" s="296"/>
      <c r="WO20" s="296"/>
      <c r="WP20" s="296"/>
      <c r="WQ20" s="296"/>
      <c r="WR20" s="296"/>
      <c r="WS20" s="296"/>
      <c r="WT20" s="296"/>
      <c r="WU20" s="296"/>
      <c r="WV20" s="296"/>
      <c r="WW20" s="296"/>
      <c r="WX20" s="296"/>
      <c r="WY20" s="296"/>
      <c r="WZ20" s="296"/>
      <c r="XA20" s="296"/>
      <c r="XB20" s="296"/>
      <c r="XC20" s="296"/>
      <c r="XD20" s="296"/>
      <c r="XE20" s="296"/>
      <c r="XF20" s="296"/>
      <c r="XG20" s="296"/>
      <c r="XH20" s="296"/>
      <c r="XI20" s="296"/>
      <c r="XJ20" s="296"/>
      <c r="XK20" s="296"/>
      <c r="XL20" s="296"/>
      <c r="XM20" s="296"/>
      <c r="XN20" s="296"/>
      <c r="XO20" s="296"/>
      <c r="XP20" s="296"/>
      <c r="XQ20" s="296"/>
      <c r="XR20" s="296"/>
      <c r="XS20" s="296"/>
      <c r="XT20" s="296"/>
      <c r="XU20" s="296"/>
      <c r="XV20" s="296"/>
      <c r="XW20" s="296"/>
      <c r="XX20" s="296"/>
      <c r="XY20" s="296"/>
      <c r="XZ20" s="296"/>
      <c r="YA20" s="296"/>
      <c r="YB20" s="296"/>
      <c r="YC20" s="296"/>
      <c r="YD20" s="296"/>
      <c r="YE20" s="296"/>
      <c r="YF20" s="296"/>
      <c r="YG20" s="296"/>
      <c r="YH20" s="296"/>
      <c r="YI20" s="296"/>
      <c r="YJ20" s="296"/>
      <c r="YK20" s="296"/>
      <c r="YL20" s="296"/>
      <c r="YM20" s="296"/>
      <c r="YN20" s="296"/>
      <c r="YO20" s="296"/>
      <c r="YP20" s="296"/>
      <c r="YQ20" s="296"/>
      <c r="YR20" s="296"/>
      <c r="YS20" s="296"/>
      <c r="YT20" s="296"/>
      <c r="YU20" s="296"/>
      <c r="YV20" s="296"/>
      <c r="YW20" s="296"/>
      <c r="YX20" s="296"/>
      <c r="YY20" s="296"/>
      <c r="YZ20" s="296"/>
      <c r="ZA20" s="296"/>
      <c r="ZB20" s="296"/>
      <c r="ZC20" s="296"/>
      <c r="ZD20" s="296"/>
      <c r="ZE20" s="296"/>
      <c r="ZF20" s="296"/>
      <c r="ZG20" s="296"/>
      <c r="ZH20" s="296"/>
      <c r="ZI20" s="296"/>
      <c r="ZJ20" s="296"/>
      <c r="ZK20" s="296"/>
      <c r="ZL20" s="296"/>
      <c r="ZM20" s="296"/>
      <c r="ZN20" s="296"/>
      <c r="ZO20" s="296"/>
      <c r="ZP20" s="296"/>
      <c r="ZQ20" s="296"/>
      <c r="ZR20" s="296"/>
      <c r="ZS20" s="296"/>
      <c r="ZT20" s="296"/>
      <c r="ZU20" s="296"/>
      <c r="ZV20" s="296"/>
      <c r="ZW20" s="296"/>
      <c r="ZX20" s="296"/>
      <c r="ZY20" s="296"/>
      <c r="ZZ20" s="296"/>
      <c r="AAA20" s="296"/>
      <c r="AAB20" s="296"/>
      <c r="AAC20" s="296"/>
      <c r="AAD20" s="296"/>
      <c r="AAE20" s="296"/>
      <c r="AAF20" s="296"/>
      <c r="AAG20" s="296"/>
      <c r="AAH20" s="296"/>
      <c r="AAI20" s="296"/>
      <c r="AAJ20" s="296"/>
      <c r="AAK20" s="296"/>
      <c r="AAL20" s="296"/>
      <c r="AAM20" s="296"/>
      <c r="AAN20" s="296"/>
      <c r="AAO20" s="296"/>
      <c r="AAP20" s="296"/>
      <c r="AAQ20" s="296"/>
      <c r="AAR20" s="296"/>
      <c r="AAS20" s="296"/>
      <c r="AAT20" s="296"/>
      <c r="AAU20" s="296"/>
      <c r="AAV20" s="296"/>
      <c r="AAW20" s="296"/>
      <c r="AAX20" s="296"/>
      <c r="AAY20" s="296"/>
      <c r="AAZ20" s="296"/>
      <c r="ABA20" s="296"/>
      <c r="ABB20" s="296"/>
      <c r="ABC20" s="296"/>
      <c r="ABD20" s="296"/>
      <c r="ABE20" s="296"/>
      <c r="ABF20" s="296"/>
      <c r="ABG20" s="296"/>
      <c r="ABH20" s="296"/>
      <c r="ABI20" s="296"/>
      <c r="ABJ20" s="296"/>
      <c r="ABK20" s="296"/>
      <c r="ABL20" s="296"/>
      <c r="ABM20" s="296"/>
      <c r="ABN20" s="296"/>
      <c r="ABO20" s="296"/>
      <c r="ABP20" s="296"/>
      <c r="ABQ20" s="296"/>
      <c r="ABR20" s="296"/>
      <c r="ABS20" s="296"/>
      <c r="ABT20" s="296"/>
      <c r="ABU20" s="296"/>
      <c r="ABV20" s="296"/>
      <c r="ABW20" s="296"/>
      <c r="ABX20" s="296"/>
      <c r="ABY20" s="296"/>
      <c r="ABZ20" s="296"/>
      <c r="ACA20" s="296"/>
      <c r="ACB20" s="296"/>
      <c r="ACC20" s="296"/>
      <c r="ACD20" s="296"/>
      <c r="ACE20" s="296"/>
      <c r="ACF20" s="296"/>
      <c r="ACG20" s="296"/>
      <c r="ACH20" s="296"/>
      <c r="ACI20" s="296"/>
      <c r="ACJ20" s="296"/>
      <c r="ACK20" s="296"/>
      <c r="ACL20" s="296"/>
      <c r="ACM20" s="296"/>
      <c r="ACN20" s="296"/>
      <c r="ACO20" s="296"/>
      <c r="ACP20" s="296"/>
      <c r="ACQ20" s="296"/>
      <c r="ACR20" s="296"/>
      <c r="ACS20" s="296"/>
      <c r="ACT20" s="296"/>
      <c r="ACU20" s="296"/>
      <c r="ACV20" s="296"/>
      <c r="ACW20" s="296"/>
      <c r="ACX20" s="296"/>
      <c r="ACY20" s="296"/>
      <c r="ACZ20" s="296"/>
      <c r="ADA20" s="296"/>
      <c r="ADB20" s="296"/>
      <c r="ADC20" s="296"/>
      <c r="ADD20" s="296"/>
      <c r="ADE20" s="296"/>
      <c r="ADF20" s="296"/>
      <c r="ADG20" s="296"/>
      <c r="ADH20" s="296"/>
      <c r="ADI20" s="296"/>
      <c r="ADJ20" s="296"/>
      <c r="ADK20" s="296"/>
      <c r="ADL20" s="296"/>
      <c r="ADM20" s="296"/>
      <c r="ADN20" s="296"/>
      <c r="ADO20" s="296"/>
      <c r="ADP20" s="296"/>
      <c r="ADQ20" s="296"/>
      <c r="ADR20" s="296"/>
      <c r="ADS20" s="296"/>
      <c r="ADT20" s="296"/>
      <c r="ADU20" s="296"/>
      <c r="ADV20" s="296"/>
      <c r="ADW20" s="296"/>
      <c r="ADX20" s="296"/>
      <c r="ADY20" s="296"/>
      <c r="ADZ20" s="296"/>
      <c r="AEA20" s="296"/>
      <c r="AEB20" s="296"/>
      <c r="AEC20" s="296"/>
      <c r="AED20" s="296"/>
      <c r="AEE20" s="296"/>
      <c r="AEF20" s="296"/>
      <c r="AEG20" s="296"/>
      <c r="AEH20" s="296"/>
      <c r="AEI20" s="296"/>
      <c r="AEJ20" s="296"/>
      <c r="AEK20" s="296"/>
      <c r="AEL20" s="296"/>
      <c r="AEM20" s="296"/>
      <c r="AEN20" s="296"/>
      <c r="AEO20" s="296"/>
      <c r="AEP20" s="296"/>
      <c r="AEQ20" s="296"/>
      <c r="AER20" s="296"/>
      <c r="AES20" s="296"/>
      <c r="AET20" s="296"/>
      <c r="AEU20" s="296"/>
      <c r="AEV20" s="296"/>
      <c r="AEW20" s="296"/>
      <c r="AEX20" s="296"/>
      <c r="AEY20" s="296"/>
      <c r="AEZ20" s="296"/>
      <c r="AFA20" s="296"/>
      <c r="AFB20" s="296"/>
      <c r="AFC20" s="296"/>
      <c r="AFD20" s="296"/>
      <c r="AFE20" s="296"/>
      <c r="AFF20" s="296"/>
      <c r="AFG20" s="296"/>
      <c r="AFH20" s="296"/>
      <c r="AFI20" s="296"/>
      <c r="AFJ20" s="296"/>
      <c r="AFK20" s="296"/>
      <c r="AFL20" s="296"/>
      <c r="AFM20" s="296"/>
      <c r="AFN20" s="296"/>
      <c r="AFO20" s="296"/>
      <c r="AFP20" s="296"/>
      <c r="AFQ20" s="296"/>
      <c r="AFR20" s="296"/>
      <c r="AFS20" s="296"/>
      <c r="AFT20" s="296"/>
      <c r="AFU20" s="296"/>
      <c r="AFV20" s="296"/>
      <c r="AFW20" s="296"/>
      <c r="AFX20" s="296"/>
      <c r="AFY20" s="296"/>
      <c r="AFZ20" s="296"/>
      <c r="AGA20" s="296"/>
      <c r="AGB20" s="296"/>
      <c r="AGC20" s="296"/>
      <c r="AGD20" s="296"/>
      <c r="AGE20" s="296"/>
      <c r="AGF20" s="296"/>
      <c r="AGG20" s="296"/>
      <c r="AGH20" s="296"/>
      <c r="AGI20" s="296"/>
      <c r="AGJ20" s="296"/>
      <c r="AGK20" s="296"/>
      <c r="AGL20" s="296"/>
      <c r="AGM20" s="296"/>
      <c r="AGN20" s="296"/>
      <c r="AGO20" s="296"/>
      <c r="AGP20" s="296"/>
      <c r="AGQ20" s="296"/>
      <c r="AGR20" s="296"/>
      <c r="AGS20" s="296"/>
      <c r="AGT20" s="296"/>
      <c r="AGU20" s="296"/>
      <c r="AGV20" s="296"/>
      <c r="AGW20" s="296"/>
      <c r="AGX20" s="296"/>
      <c r="AGY20" s="296"/>
      <c r="AGZ20" s="296"/>
      <c r="AHA20" s="296"/>
      <c r="AHB20" s="296"/>
      <c r="AHC20" s="296"/>
      <c r="AHD20" s="296"/>
      <c r="AHE20" s="296"/>
      <c r="AHF20" s="296"/>
      <c r="AHG20" s="296"/>
      <c r="AHH20" s="296"/>
      <c r="AHI20" s="296"/>
      <c r="AHJ20" s="296"/>
      <c r="AHK20" s="296"/>
      <c r="AHL20" s="296"/>
      <c r="AHM20" s="296"/>
      <c r="AHN20" s="296"/>
      <c r="AHO20" s="296"/>
      <c r="AHP20" s="296"/>
      <c r="AHQ20" s="296"/>
      <c r="AHR20" s="296"/>
      <c r="AHS20" s="296"/>
      <c r="AHT20" s="296"/>
      <c r="AHU20" s="296"/>
      <c r="AHV20" s="296"/>
      <c r="AHW20" s="296"/>
      <c r="AHX20" s="296"/>
      <c r="AHY20" s="296"/>
      <c r="AHZ20" s="296"/>
      <c r="AIA20" s="296"/>
      <c r="AIB20" s="296"/>
      <c r="AIC20" s="296"/>
      <c r="AID20" s="296"/>
      <c r="AIE20" s="296"/>
      <c r="AIF20" s="296"/>
      <c r="AIG20" s="296"/>
      <c r="AIH20" s="296"/>
      <c r="AII20" s="296"/>
      <c r="AIJ20" s="296"/>
      <c r="AIK20" s="296"/>
      <c r="AIL20" s="296"/>
      <c r="AIM20" s="296"/>
      <c r="AIN20" s="296"/>
      <c r="AIO20" s="296"/>
      <c r="AIP20" s="296"/>
      <c r="AIQ20" s="296"/>
      <c r="AIR20" s="296"/>
      <c r="AIS20" s="296"/>
      <c r="AIT20" s="296"/>
      <c r="AIU20" s="296"/>
      <c r="AIV20" s="296"/>
      <c r="AIW20" s="296"/>
      <c r="AIX20" s="296"/>
      <c r="AIY20" s="296"/>
      <c r="AIZ20" s="296"/>
      <c r="AJA20" s="296"/>
      <c r="AJB20" s="296"/>
      <c r="AJC20" s="296"/>
      <c r="AJD20" s="296"/>
      <c r="AJE20" s="296"/>
      <c r="AJF20" s="296"/>
      <c r="AJG20" s="296"/>
      <c r="AJH20" s="296"/>
      <c r="AJI20" s="296"/>
      <c r="AJJ20" s="296"/>
      <c r="AJK20" s="296"/>
      <c r="AJL20" s="296"/>
      <c r="AJM20" s="296"/>
      <c r="AJN20" s="296"/>
      <c r="AJO20" s="296"/>
      <c r="AJP20" s="296"/>
      <c r="AJQ20" s="296"/>
      <c r="AJR20" s="296"/>
      <c r="AJS20" s="296"/>
      <c r="AJT20" s="296"/>
      <c r="AJU20" s="296"/>
      <c r="AJV20" s="296"/>
      <c r="AJW20" s="296"/>
      <c r="AJX20" s="296"/>
      <c r="AJY20" s="296"/>
      <c r="AJZ20" s="296"/>
      <c r="AKA20" s="296"/>
      <c r="AKB20" s="296"/>
      <c r="AKC20" s="296"/>
      <c r="AKD20" s="296"/>
      <c r="AKE20" s="296"/>
      <c r="AKF20" s="296"/>
      <c r="AKG20" s="296"/>
      <c r="AKH20" s="296"/>
      <c r="AKI20" s="296"/>
      <c r="AKJ20" s="296"/>
      <c r="AKK20" s="296"/>
      <c r="AKL20" s="296"/>
      <c r="AKM20" s="296"/>
      <c r="AKN20" s="296"/>
      <c r="AKO20" s="296"/>
      <c r="AKP20" s="296"/>
      <c r="AKQ20" s="296"/>
      <c r="AKR20" s="296"/>
      <c r="AKS20" s="296"/>
      <c r="AKT20" s="296"/>
      <c r="AKU20" s="296"/>
      <c r="AKV20" s="296"/>
      <c r="AKW20" s="296"/>
      <c r="AKX20" s="296"/>
      <c r="AKY20" s="296"/>
      <c r="AKZ20" s="296"/>
      <c r="ALA20" s="296"/>
      <c r="ALB20" s="296"/>
      <c r="ALC20" s="296"/>
      <c r="ALD20" s="296"/>
      <c r="ALE20" s="296"/>
      <c r="ALF20" s="296"/>
      <c r="ALG20" s="296"/>
      <c r="ALH20" s="296"/>
      <c r="ALI20" s="296"/>
      <c r="ALJ20" s="296"/>
      <c r="ALK20" s="296"/>
      <c r="ALL20" s="296"/>
      <c r="ALM20" s="296"/>
      <c r="ALN20" s="296"/>
      <c r="ALO20" s="296"/>
      <c r="ALP20" s="296"/>
      <c r="ALQ20" s="296"/>
      <c r="ALR20" s="296"/>
      <c r="ALS20" s="296"/>
      <c r="ALT20" s="296"/>
      <c r="ALU20" s="296"/>
      <c r="ALV20" s="296"/>
      <c r="ALW20" s="296"/>
      <c r="ALX20" s="296"/>
      <c r="ALY20" s="296"/>
      <c r="ALZ20" s="296"/>
      <c r="AMA20" s="296"/>
      <c r="AMB20" s="296"/>
      <c r="AMC20" s="296"/>
      <c r="AMD20" s="296"/>
      <c r="AME20" s="296"/>
      <c r="AMF20" s="296"/>
      <c r="AMG20" s="296"/>
      <c r="AMH20" s="296"/>
      <c r="AMI20" s="296"/>
      <c r="AMJ20" s="296"/>
    </row>
    <row r="21" customFormat="false" ht="12.8" hidden="false" customHeight="false" outlineLevel="0" collapsed="false">
      <c r="A21" s="324"/>
      <c r="B21" s="309" t="s">
        <v>191</v>
      </c>
      <c r="C21" s="309"/>
      <c r="D21" s="309" t="s">
        <v>192</v>
      </c>
      <c r="E21" s="309"/>
      <c r="F21" s="309" t="s">
        <v>32</v>
      </c>
      <c r="G21" s="309"/>
      <c r="H21" s="309" t="s">
        <v>193</v>
      </c>
      <c r="I21" s="309"/>
      <c r="J21" s="309" t="s">
        <v>194</v>
      </c>
      <c r="K21" s="325"/>
      <c r="L21" s="301"/>
      <c r="M21" s="301"/>
      <c r="N21" s="301"/>
      <c r="O21" s="301"/>
      <c r="P21" s="301"/>
      <c r="Q21" s="301"/>
      <c r="R21" s="301"/>
      <c r="S21" s="301"/>
      <c r="T21" s="301"/>
      <c r="U21" s="301"/>
      <c r="V21" s="301"/>
      <c r="W21" s="301"/>
      <c r="X21" s="301"/>
      <c r="Y21" s="301"/>
      <c r="Z21" s="301"/>
      <c r="AA21" s="301"/>
      <c r="AB21" s="301"/>
      <c r="AC21" s="301"/>
      <c r="AD21" s="301"/>
      <c r="AE21" s="301"/>
      <c r="AF21" s="301"/>
      <c r="AG21" s="301"/>
      <c r="AH21" s="301"/>
      <c r="AI21" s="301"/>
      <c r="AJ21" s="301"/>
      <c r="AK21" s="301"/>
      <c r="AL21" s="301"/>
      <c r="AM21" s="301"/>
      <c r="AN21" s="301"/>
      <c r="AO21" s="301"/>
      <c r="AP21" s="301"/>
      <c r="AQ21" s="301"/>
      <c r="AR21" s="301"/>
      <c r="AS21" s="301"/>
      <c r="AT21" s="301"/>
      <c r="AU21" s="301"/>
      <c r="AV21" s="301"/>
      <c r="AW21" s="301"/>
      <c r="AX21" s="301"/>
      <c r="AY21" s="301"/>
      <c r="AZ21" s="301"/>
      <c r="BA21" s="301"/>
      <c r="BB21" s="301"/>
      <c r="BC21" s="301"/>
      <c r="BD21" s="301"/>
      <c r="BE21" s="301"/>
      <c r="BF21" s="301"/>
      <c r="BG21" s="301"/>
      <c r="BH21" s="301"/>
      <c r="BI21" s="301"/>
      <c r="BJ21" s="301"/>
      <c r="BK21" s="301"/>
      <c r="BL21" s="301"/>
      <c r="BM21" s="301"/>
      <c r="BN21" s="301"/>
      <c r="BO21" s="301"/>
      <c r="BP21" s="301"/>
      <c r="BQ21" s="301"/>
      <c r="BR21" s="301"/>
      <c r="BS21" s="301"/>
      <c r="BT21" s="301"/>
      <c r="BU21" s="301"/>
      <c r="BV21" s="301"/>
      <c r="BW21" s="301"/>
      <c r="BX21" s="301"/>
      <c r="BY21" s="301"/>
      <c r="BZ21" s="301"/>
      <c r="CA21" s="301"/>
      <c r="CB21" s="301"/>
      <c r="CC21" s="301"/>
      <c r="CD21" s="301"/>
      <c r="CE21" s="301"/>
      <c r="CF21" s="301"/>
      <c r="CG21" s="301"/>
      <c r="CH21" s="301"/>
      <c r="CI21" s="301"/>
      <c r="CJ21" s="301"/>
      <c r="CK21" s="301"/>
      <c r="CL21" s="301"/>
      <c r="CM21" s="301"/>
      <c r="CN21" s="301"/>
      <c r="CO21" s="301"/>
      <c r="CP21" s="301"/>
      <c r="CQ21" s="301"/>
      <c r="CR21" s="301"/>
      <c r="CS21" s="301"/>
      <c r="CT21" s="301"/>
      <c r="CU21" s="301"/>
      <c r="CV21" s="301"/>
      <c r="CW21" s="301"/>
      <c r="CX21" s="301"/>
      <c r="CY21" s="301"/>
      <c r="CZ21" s="301"/>
      <c r="DA21" s="301"/>
      <c r="DB21" s="301"/>
      <c r="DC21" s="301"/>
      <c r="DD21" s="301"/>
      <c r="DE21" s="301"/>
      <c r="DF21" s="301"/>
      <c r="DG21" s="301"/>
      <c r="DH21" s="301"/>
      <c r="DI21" s="301"/>
      <c r="DJ21" s="301"/>
      <c r="DK21" s="301"/>
      <c r="DL21" s="301"/>
      <c r="DM21" s="301"/>
      <c r="DN21" s="301"/>
      <c r="DO21" s="301"/>
      <c r="DP21" s="301"/>
      <c r="DQ21" s="301"/>
      <c r="DR21" s="301"/>
      <c r="DS21" s="301"/>
      <c r="DT21" s="301"/>
      <c r="DU21" s="301"/>
      <c r="DV21" s="301"/>
      <c r="DW21" s="301"/>
      <c r="DX21" s="301"/>
      <c r="DY21" s="301"/>
      <c r="DZ21" s="301"/>
      <c r="EA21" s="301"/>
      <c r="EB21" s="301"/>
      <c r="EC21" s="301"/>
      <c r="ED21" s="301"/>
      <c r="EE21" s="301"/>
      <c r="EF21" s="301"/>
      <c r="EG21" s="301"/>
      <c r="EH21" s="301"/>
      <c r="EI21" s="301"/>
      <c r="EJ21" s="301"/>
      <c r="EK21" s="301"/>
      <c r="EL21" s="301"/>
      <c r="EM21" s="301"/>
      <c r="EN21" s="301"/>
      <c r="EO21" s="301"/>
      <c r="EP21" s="301"/>
      <c r="EQ21" s="301"/>
      <c r="ER21" s="301"/>
      <c r="ES21" s="301"/>
      <c r="ET21" s="301"/>
      <c r="EU21" s="301"/>
      <c r="EV21" s="301"/>
      <c r="EW21" s="301"/>
      <c r="EX21" s="301"/>
      <c r="EY21" s="301"/>
      <c r="EZ21" s="301"/>
      <c r="FA21" s="301"/>
      <c r="FB21" s="301"/>
      <c r="FC21" s="301"/>
      <c r="FD21" s="301"/>
      <c r="FE21" s="301"/>
      <c r="FF21" s="301"/>
      <c r="FG21" s="301"/>
      <c r="FH21" s="301"/>
      <c r="FI21" s="301"/>
      <c r="FJ21" s="301"/>
      <c r="FK21" s="301"/>
      <c r="FL21" s="301"/>
      <c r="FM21" s="301"/>
      <c r="FN21" s="301"/>
      <c r="FO21" s="301"/>
      <c r="FP21" s="301"/>
      <c r="FQ21" s="301"/>
      <c r="FR21" s="301"/>
      <c r="FS21" s="301"/>
      <c r="FT21" s="301"/>
      <c r="FU21" s="301"/>
      <c r="FV21" s="301"/>
      <c r="FW21" s="301"/>
      <c r="FX21" s="301"/>
      <c r="FY21" s="301"/>
      <c r="FZ21" s="301"/>
      <c r="GA21" s="301"/>
      <c r="GB21" s="301"/>
      <c r="GC21" s="301"/>
      <c r="GD21" s="301"/>
      <c r="GE21" s="301"/>
      <c r="GF21" s="301"/>
      <c r="GG21" s="301"/>
      <c r="GH21" s="301"/>
      <c r="GI21" s="301"/>
      <c r="GJ21" s="301"/>
      <c r="GK21" s="301"/>
      <c r="GL21" s="301"/>
      <c r="GM21" s="301"/>
      <c r="GN21" s="301"/>
      <c r="GO21" s="301"/>
      <c r="GP21" s="301"/>
      <c r="GQ21" s="301"/>
      <c r="GR21" s="301"/>
      <c r="GS21" s="301"/>
      <c r="GT21" s="301"/>
      <c r="GU21" s="301"/>
      <c r="GV21" s="301"/>
      <c r="GW21" s="301"/>
      <c r="GX21" s="301"/>
      <c r="GY21" s="301"/>
      <c r="GZ21" s="301"/>
      <c r="HA21" s="301"/>
      <c r="HB21" s="301"/>
      <c r="HC21" s="301"/>
      <c r="HD21" s="301"/>
      <c r="HE21" s="301"/>
      <c r="HF21" s="301"/>
      <c r="HG21" s="301"/>
      <c r="HH21" s="301"/>
      <c r="HI21" s="301"/>
      <c r="HJ21" s="301"/>
      <c r="HK21" s="301"/>
      <c r="HL21" s="301"/>
      <c r="HM21" s="301"/>
      <c r="HN21" s="301"/>
      <c r="HO21" s="301"/>
      <c r="HP21" s="301"/>
      <c r="HQ21" s="301"/>
      <c r="HR21" s="301"/>
      <c r="HS21" s="301"/>
      <c r="HT21" s="301"/>
      <c r="HU21" s="301"/>
      <c r="HV21" s="301"/>
      <c r="HW21" s="301"/>
      <c r="HX21" s="301"/>
      <c r="HY21" s="301"/>
      <c r="HZ21" s="301"/>
      <c r="IA21" s="301"/>
      <c r="IB21" s="301"/>
      <c r="IC21" s="301"/>
      <c r="ID21" s="301"/>
      <c r="IE21" s="301"/>
      <c r="IF21" s="301"/>
      <c r="IG21" s="301"/>
      <c r="IH21" s="301"/>
      <c r="II21" s="301"/>
      <c r="IJ21" s="301"/>
      <c r="IK21" s="301"/>
      <c r="IL21" s="301"/>
      <c r="IM21" s="301"/>
      <c r="IN21" s="301"/>
      <c r="IO21" s="301"/>
      <c r="IP21" s="301"/>
      <c r="IQ21" s="301"/>
      <c r="IR21" s="301"/>
      <c r="IS21" s="301"/>
      <c r="IT21" s="301"/>
      <c r="IU21" s="301"/>
      <c r="IV21" s="301"/>
      <c r="IW21" s="301"/>
      <c r="IX21" s="301"/>
      <c r="IY21" s="301"/>
      <c r="IZ21" s="301"/>
      <c r="JA21" s="301"/>
      <c r="JB21" s="301"/>
      <c r="JC21" s="301"/>
      <c r="JD21" s="301"/>
      <c r="JE21" s="301"/>
      <c r="JF21" s="301"/>
      <c r="JG21" s="301"/>
      <c r="JH21" s="301"/>
      <c r="JI21" s="301"/>
      <c r="JJ21" s="301"/>
      <c r="JK21" s="301"/>
      <c r="JL21" s="301"/>
      <c r="JM21" s="301"/>
      <c r="JN21" s="301"/>
      <c r="JO21" s="301"/>
      <c r="JP21" s="301"/>
      <c r="JQ21" s="301"/>
      <c r="JR21" s="301"/>
      <c r="JS21" s="301"/>
      <c r="JT21" s="301"/>
      <c r="JU21" s="301"/>
      <c r="JV21" s="301"/>
      <c r="JW21" s="301"/>
      <c r="JX21" s="301"/>
      <c r="JY21" s="301"/>
      <c r="JZ21" s="301"/>
      <c r="KA21" s="301"/>
      <c r="KB21" s="301"/>
      <c r="KC21" s="301"/>
      <c r="KD21" s="301"/>
      <c r="KE21" s="301"/>
      <c r="KF21" s="301"/>
      <c r="KG21" s="301"/>
      <c r="KH21" s="301"/>
      <c r="KI21" s="301"/>
      <c r="KJ21" s="301"/>
      <c r="KK21" s="301"/>
      <c r="KL21" s="301"/>
      <c r="KM21" s="301"/>
      <c r="KN21" s="301"/>
      <c r="KO21" s="301"/>
      <c r="KP21" s="301"/>
      <c r="KQ21" s="301"/>
      <c r="KR21" s="301"/>
      <c r="KS21" s="301"/>
      <c r="KT21" s="301"/>
      <c r="KU21" s="301"/>
      <c r="KV21" s="301"/>
      <c r="KW21" s="301"/>
      <c r="KX21" s="301"/>
      <c r="KY21" s="301"/>
      <c r="KZ21" s="301"/>
      <c r="LA21" s="301"/>
      <c r="LB21" s="301"/>
      <c r="LC21" s="301"/>
      <c r="LD21" s="301"/>
      <c r="LE21" s="301"/>
      <c r="LF21" s="301"/>
      <c r="LG21" s="301"/>
      <c r="LH21" s="301"/>
      <c r="LI21" s="301"/>
      <c r="LJ21" s="301"/>
      <c r="LK21" s="301"/>
      <c r="LL21" s="301"/>
      <c r="LM21" s="301"/>
      <c r="LN21" s="301"/>
      <c r="LO21" s="301"/>
      <c r="LP21" s="301"/>
      <c r="LQ21" s="301"/>
      <c r="LR21" s="301"/>
      <c r="LS21" s="301"/>
      <c r="LT21" s="301"/>
      <c r="LU21" s="301"/>
      <c r="LV21" s="301"/>
      <c r="LW21" s="301"/>
      <c r="LX21" s="301"/>
      <c r="LY21" s="301"/>
      <c r="LZ21" s="301"/>
      <c r="MA21" s="301"/>
      <c r="MB21" s="301"/>
      <c r="MC21" s="301"/>
      <c r="MD21" s="301"/>
      <c r="ME21" s="301"/>
      <c r="MF21" s="301"/>
      <c r="MG21" s="301"/>
      <c r="MH21" s="301"/>
      <c r="MI21" s="301"/>
      <c r="MJ21" s="301"/>
      <c r="MK21" s="301"/>
      <c r="ML21" s="301"/>
      <c r="MM21" s="301"/>
      <c r="MN21" s="301"/>
      <c r="MO21" s="301"/>
      <c r="MP21" s="301"/>
      <c r="MQ21" s="301"/>
      <c r="MR21" s="301"/>
      <c r="MS21" s="301"/>
      <c r="MT21" s="301"/>
      <c r="MU21" s="301"/>
      <c r="MV21" s="301"/>
      <c r="MW21" s="301"/>
      <c r="MX21" s="301"/>
      <c r="MY21" s="301"/>
      <c r="MZ21" s="301"/>
      <c r="NA21" s="301"/>
      <c r="NB21" s="301"/>
      <c r="NC21" s="301"/>
      <c r="ND21" s="301"/>
      <c r="NE21" s="301"/>
      <c r="NF21" s="301"/>
      <c r="NG21" s="301"/>
      <c r="NH21" s="301"/>
      <c r="NI21" s="301"/>
      <c r="NJ21" s="301"/>
      <c r="NK21" s="301"/>
      <c r="NL21" s="301"/>
      <c r="NM21" s="301"/>
      <c r="NN21" s="301"/>
      <c r="NO21" s="301"/>
      <c r="NP21" s="301"/>
      <c r="NQ21" s="301"/>
      <c r="NR21" s="301"/>
      <c r="NS21" s="301"/>
      <c r="NT21" s="301"/>
      <c r="NU21" s="301"/>
      <c r="NV21" s="301"/>
      <c r="NW21" s="301"/>
      <c r="NX21" s="301"/>
      <c r="NY21" s="301"/>
      <c r="NZ21" s="301"/>
      <c r="OA21" s="301"/>
      <c r="OB21" s="301"/>
      <c r="OC21" s="301"/>
      <c r="OD21" s="301"/>
      <c r="OE21" s="301"/>
      <c r="OF21" s="301"/>
      <c r="OG21" s="301"/>
      <c r="OH21" s="301"/>
      <c r="OI21" s="301"/>
      <c r="OJ21" s="301"/>
      <c r="OK21" s="301"/>
      <c r="OL21" s="301"/>
      <c r="OM21" s="301"/>
      <c r="ON21" s="301"/>
      <c r="OO21" s="301"/>
      <c r="OP21" s="301"/>
      <c r="OQ21" s="301"/>
      <c r="OR21" s="301"/>
      <c r="OS21" s="301"/>
      <c r="OT21" s="301"/>
      <c r="OU21" s="301"/>
      <c r="OV21" s="301"/>
      <c r="OW21" s="301"/>
      <c r="OX21" s="301"/>
      <c r="OY21" s="301"/>
      <c r="OZ21" s="301"/>
      <c r="PA21" s="301"/>
      <c r="PB21" s="301"/>
      <c r="PC21" s="301"/>
      <c r="PD21" s="301"/>
      <c r="PE21" s="301"/>
      <c r="PF21" s="301"/>
      <c r="PG21" s="301"/>
      <c r="PH21" s="301"/>
      <c r="PI21" s="301"/>
      <c r="PJ21" s="301"/>
      <c r="PK21" s="301"/>
      <c r="PL21" s="301"/>
      <c r="PM21" s="301"/>
      <c r="PN21" s="301"/>
      <c r="PO21" s="301"/>
      <c r="PP21" s="301"/>
      <c r="PQ21" s="301"/>
      <c r="PR21" s="301"/>
      <c r="PS21" s="301"/>
      <c r="PT21" s="301"/>
      <c r="PU21" s="301"/>
      <c r="PV21" s="301"/>
      <c r="PW21" s="301"/>
      <c r="PX21" s="301"/>
      <c r="PY21" s="301"/>
      <c r="PZ21" s="301"/>
      <c r="QA21" s="301"/>
      <c r="QB21" s="301"/>
      <c r="QC21" s="301"/>
      <c r="QD21" s="301"/>
      <c r="QE21" s="301"/>
      <c r="QF21" s="301"/>
      <c r="QG21" s="301"/>
      <c r="QH21" s="301"/>
      <c r="QI21" s="301"/>
      <c r="QJ21" s="301"/>
      <c r="QK21" s="301"/>
      <c r="QL21" s="301"/>
      <c r="QM21" s="301"/>
      <c r="QN21" s="301"/>
      <c r="QO21" s="301"/>
      <c r="QP21" s="301"/>
      <c r="QQ21" s="301"/>
      <c r="QR21" s="301"/>
      <c r="QS21" s="301"/>
      <c r="QT21" s="301"/>
      <c r="QU21" s="301"/>
      <c r="QV21" s="301"/>
      <c r="QW21" s="301"/>
      <c r="QX21" s="301"/>
      <c r="QY21" s="301"/>
      <c r="QZ21" s="301"/>
      <c r="RA21" s="301"/>
      <c r="RB21" s="301"/>
      <c r="RC21" s="301"/>
      <c r="RD21" s="301"/>
      <c r="RE21" s="301"/>
      <c r="RF21" s="301"/>
      <c r="RG21" s="301"/>
      <c r="RH21" s="301"/>
      <c r="RI21" s="301"/>
      <c r="RJ21" s="301"/>
      <c r="RK21" s="301"/>
      <c r="RL21" s="301"/>
      <c r="RM21" s="301"/>
      <c r="RN21" s="301"/>
      <c r="RO21" s="301"/>
      <c r="RP21" s="301"/>
      <c r="RQ21" s="301"/>
      <c r="RR21" s="301"/>
      <c r="RS21" s="301"/>
      <c r="RT21" s="301"/>
      <c r="RU21" s="301"/>
      <c r="RV21" s="301"/>
      <c r="RW21" s="301"/>
      <c r="RX21" s="301"/>
      <c r="RY21" s="301"/>
      <c r="RZ21" s="301"/>
      <c r="SA21" s="301"/>
      <c r="SB21" s="301"/>
      <c r="SC21" s="301"/>
      <c r="SD21" s="301"/>
      <c r="SE21" s="301"/>
      <c r="SF21" s="301"/>
      <c r="SG21" s="301"/>
      <c r="SH21" s="301"/>
      <c r="SI21" s="301"/>
      <c r="SJ21" s="301"/>
      <c r="SK21" s="301"/>
      <c r="SL21" s="301"/>
      <c r="SM21" s="301"/>
      <c r="SN21" s="301"/>
      <c r="SO21" s="301"/>
      <c r="SP21" s="301"/>
      <c r="SQ21" s="301"/>
      <c r="SR21" s="301"/>
      <c r="SS21" s="301"/>
      <c r="ST21" s="301"/>
      <c r="SU21" s="301"/>
      <c r="SV21" s="301"/>
      <c r="SW21" s="301"/>
      <c r="SX21" s="301"/>
      <c r="SY21" s="301"/>
      <c r="SZ21" s="301"/>
      <c r="TA21" s="301"/>
      <c r="TB21" s="301"/>
      <c r="TC21" s="301"/>
      <c r="TD21" s="301"/>
      <c r="TE21" s="301"/>
      <c r="TF21" s="301"/>
      <c r="TG21" s="301"/>
      <c r="TH21" s="301"/>
      <c r="TI21" s="301"/>
      <c r="TJ21" s="301"/>
      <c r="TK21" s="301"/>
      <c r="TL21" s="301"/>
      <c r="TM21" s="301"/>
      <c r="TN21" s="301"/>
      <c r="TO21" s="301"/>
      <c r="TP21" s="301"/>
      <c r="TQ21" s="301"/>
      <c r="TR21" s="301"/>
      <c r="TS21" s="301"/>
      <c r="TT21" s="301"/>
      <c r="TU21" s="301"/>
      <c r="TV21" s="301"/>
      <c r="TW21" s="301"/>
      <c r="TX21" s="301"/>
      <c r="TY21" s="301"/>
      <c r="TZ21" s="301"/>
      <c r="UA21" s="301"/>
      <c r="UB21" s="301"/>
      <c r="UC21" s="301"/>
      <c r="UD21" s="301"/>
      <c r="UE21" s="301"/>
      <c r="UF21" s="301"/>
      <c r="UG21" s="301"/>
      <c r="UH21" s="301"/>
      <c r="UI21" s="301"/>
      <c r="UJ21" s="301"/>
      <c r="UK21" s="301"/>
      <c r="UL21" s="301"/>
      <c r="UM21" s="301"/>
      <c r="UN21" s="301"/>
      <c r="UO21" s="301"/>
      <c r="UP21" s="301"/>
      <c r="UQ21" s="301"/>
      <c r="UR21" s="301"/>
      <c r="US21" s="301"/>
      <c r="UT21" s="301"/>
      <c r="UU21" s="301"/>
      <c r="UV21" s="301"/>
      <c r="UW21" s="301"/>
      <c r="UX21" s="301"/>
      <c r="UY21" s="301"/>
      <c r="UZ21" s="301"/>
      <c r="VA21" s="301"/>
      <c r="VB21" s="301"/>
      <c r="VC21" s="301"/>
      <c r="VD21" s="301"/>
      <c r="VE21" s="301"/>
      <c r="VF21" s="301"/>
      <c r="VG21" s="301"/>
      <c r="VH21" s="301"/>
      <c r="VI21" s="301"/>
      <c r="VJ21" s="301"/>
      <c r="VK21" s="301"/>
      <c r="VL21" s="301"/>
      <c r="VM21" s="301"/>
      <c r="VN21" s="301"/>
      <c r="VO21" s="301"/>
      <c r="VP21" s="301"/>
      <c r="VQ21" s="301"/>
      <c r="VR21" s="301"/>
      <c r="VS21" s="301"/>
      <c r="VT21" s="301"/>
      <c r="VU21" s="301"/>
      <c r="VV21" s="301"/>
      <c r="VW21" s="301"/>
      <c r="VX21" s="301"/>
      <c r="VY21" s="301"/>
      <c r="VZ21" s="301"/>
      <c r="WA21" s="301"/>
      <c r="WB21" s="301"/>
      <c r="WC21" s="301"/>
      <c r="WD21" s="301"/>
      <c r="WE21" s="301"/>
      <c r="WF21" s="301"/>
      <c r="WG21" s="301"/>
      <c r="WH21" s="301"/>
      <c r="WI21" s="301"/>
      <c r="WJ21" s="301"/>
      <c r="WK21" s="301"/>
      <c r="WL21" s="301"/>
      <c r="WM21" s="301"/>
      <c r="WN21" s="301"/>
      <c r="WO21" s="301"/>
      <c r="WP21" s="301"/>
      <c r="WQ21" s="301"/>
      <c r="WR21" s="301"/>
      <c r="WS21" s="301"/>
      <c r="WT21" s="301"/>
      <c r="WU21" s="301"/>
      <c r="WV21" s="301"/>
      <c r="WW21" s="301"/>
      <c r="WX21" s="301"/>
      <c r="WY21" s="301"/>
      <c r="WZ21" s="301"/>
      <c r="XA21" s="301"/>
      <c r="XB21" s="301"/>
      <c r="XC21" s="301"/>
      <c r="XD21" s="301"/>
      <c r="XE21" s="301"/>
      <c r="XF21" s="301"/>
      <c r="XG21" s="301"/>
      <c r="XH21" s="301"/>
      <c r="XI21" s="301"/>
      <c r="XJ21" s="301"/>
      <c r="XK21" s="301"/>
      <c r="XL21" s="301"/>
      <c r="XM21" s="301"/>
      <c r="XN21" s="301"/>
      <c r="XO21" s="301"/>
      <c r="XP21" s="301"/>
      <c r="XQ21" s="301"/>
      <c r="XR21" s="301"/>
      <c r="XS21" s="301"/>
      <c r="XT21" s="301"/>
      <c r="XU21" s="301"/>
      <c r="XV21" s="301"/>
      <c r="XW21" s="301"/>
      <c r="XX21" s="301"/>
      <c r="XY21" s="301"/>
      <c r="XZ21" s="301"/>
      <c r="YA21" s="301"/>
      <c r="YB21" s="301"/>
      <c r="YC21" s="301"/>
      <c r="YD21" s="301"/>
      <c r="YE21" s="301"/>
      <c r="YF21" s="301"/>
      <c r="YG21" s="301"/>
      <c r="YH21" s="301"/>
      <c r="YI21" s="301"/>
      <c r="YJ21" s="301"/>
      <c r="YK21" s="301"/>
      <c r="YL21" s="301"/>
      <c r="YM21" s="301"/>
      <c r="YN21" s="301"/>
      <c r="YO21" s="301"/>
      <c r="YP21" s="301"/>
      <c r="YQ21" s="301"/>
      <c r="YR21" s="301"/>
      <c r="YS21" s="301"/>
      <c r="YT21" s="301"/>
      <c r="YU21" s="301"/>
      <c r="YV21" s="301"/>
      <c r="YW21" s="301"/>
      <c r="YX21" s="301"/>
      <c r="YY21" s="301"/>
      <c r="YZ21" s="301"/>
      <c r="ZA21" s="301"/>
      <c r="ZB21" s="301"/>
      <c r="ZC21" s="301"/>
      <c r="ZD21" s="301"/>
      <c r="ZE21" s="301"/>
      <c r="ZF21" s="301"/>
      <c r="ZG21" s="301"/>
      <c r="ZH21" s="301"/>
      <c r="ZI21" s="301"/>
      <c r="ZJ21" s="301"/>
      <c r="ZK21" s="301"/>
      <c r="ZL21" s="301"/>
      <c r="ZM21" s="301"/>
      <c r="ZN21" s="301"/>
      <c r="ZO21" s="301"/>
      <c r="ZP21" s="301"/>
      <c r="ZQ21" s="301"/>
      <c r="ZR21" s="301"/>
      <c r="ZS21" s="301"/>
      <c r="ZT21" s="301"/>
      <c r="ZU21" s="301"/>
      <c r="ZV21" s="301"/>
      <c r="ZW21" s="301"/>
      <c r="ZX21" s="301"/>
      <c r="ZY21" s="301"/>
      <c r="ZZ21" s="301"/>
      <c r="AAA21" s="301"/>
      <c r="AAB21" s="301"/>
      <c r="AAC21" s="301"/>
      <c r="AAD21" s="301"/>
      <c r="AAE21" s="301"/>
      <c r="AAF21" s="301"/>
      <c r="AAG21" s="301"/>
      <c r="AAH21" s="301"/>
      <c r="AAI21" s="301"/>
      <c r="AAJ21" s="301"/>
      <c r="AAK21" s="301"/>
      <c r="AAL21" s="301"/>
      <c r="AAM21" s="301"/>
      <c r="AAN21" s="301"/>
      <c r="AAO21" s="301"/>
      <c r="AAP21" s="301"/>
      <c r="AAQ21" s="301"/>
      <c r="AAR21" s="301"/>
      <c r="AAS21" s="301"/>
      <c r="AAT21" s="301"/>
      <c r="AAU21" s="301"/>
      <c r="AAV21" s="301"/>
      <c r="AAW21" s="301"/>
      <c r="AAX21" s="301"/>
      <c r="AAY21" s="301"/>
      <c r="AAZ21" s="301"/>
      <c r="ABA21" s="301"/>
      <c r="ABB21" s="301"/>
      <c r="ABC21" s="301"/>
      <c r="ABD21" s="301"/>
      <c r="ABE21" s="301"/>
      <c r="ABF21" s="301"/>
      <c r="ABG21" s="301"/>
      <c r="ABH21" s="301"/>
      <c r="ABI21" s="301"/>
      <c r="ABJ21" s="301"/>
      <c r="ABK21" s="301"/>
      <c r="ABL21" s="301"/>
      <c r="ABM21" s="301"/>
      <c r="ABN21" s="301"/>
      <c r="ABO21" s="301"/>
      <c r="ABP21" s="301"/>
      <c r="ABQ21" s="301"/>
      <c r="ABR21" s="301"/>
      <c r="ABS21" s="301"/>
      <c r="ABT21" s="301"/>
      <c r="ABU21" s="301"/>
      <c r="ABV21" s="301"/>
      <c r="ABW21" s="301"/>
      <c r="ABX21" s="301"/>
      <c r="ABY21" s="301"/>
      <c r="ABZ21" s="301"/>
      <c r="ACA21" s="301"/>
      <c r="ACB21" s="301"/>
      <c r="ACC21" s="301"/>
      <c r="ACD21" s="301"/>
      <c r="ACE21" s="301"/>
      <c r="ACF21" s="301"/>
      <c r="ACG21" s="301"/>
      <c r="ACH21" s="301"/>
      <c r="ACI21" s="301"/>
      <c r="ACJ21" s="301"/>
      <c r="ACK21" s="301"/>
      <c r="ACL21" s="301"/>
      <c r="ACM21" s="301"/>
      <c r="ACN21" s="301"/>
      <c r="ACO21" s="301"/>
      <c r="ACP21" s="301"/>
      <c r="ACQ21" s="301"/>
      <c r="ACR21" s="301"/>
      <c r="ACS21" s="301"/>
      <c r="ACT21" s="301"/>
      <c r="ACU21" s="301"/>
      <c r="ACV21" s="301"/>
      <c r="ACW21" s="301"/>
      <c r="ACX21" s="301"/>
      <c r="ACY21" s="301"/>
      <c r="ACZ21" s="301"/>
      <c r="ADA21" s="301"/>
      <c r="ADB21" s="301"/>
      <c r="ADC21" s="301"/>
      <c r="ADD21" s="301"/>
      <c r="ADE21" s="301"/>
      <c r="ADF21" s="301"/>
      <c r="ADG21" s="301"/>
      <c r="ADH21" s="301"/>
      <c r="ADI21" s="301"/>
      <c r="ADJ21" s="301"/>
      <c r="ADK21" s="301"/>
      <c r="ADL21" s="301"/>
      <c r="ADM21" s="301"/>
      <c r="ADN21" s="301"/>
      <c r="ADO21" s="301"/>
      <c r="ADP21" s="301"/>
      <c r="ADQ21" s="301"/>
      <c r="ADR21" s="301"/>
      <c r="ADS21" s="301"/>
      <c r="ADT21" s="301"/>
      <c r="ADU21" s="301"/>
      <c r="ADV21" s="301"/>
      <c r="ADW21" s="301"/>
      <c r="ADX21" s="301"/>
      <c r="ADY21" s="301"/>
      <c r="ADZ21" s="301"/>
      <c r="AEA21" s="301"/>
      <c r="AEB21" s="301"/>
      <c r="AEC21" s="301"/>
      <c r="AED21" s="301"/>
      <c r="AEE21" s="301"/>
      <c r="AEF21" s="301"/>
      <c r="AEG21" s="301"/>
      <c r="AEH21" s="301"/>
      <c r="AEI21" s="301"/>
      <c r="AEJ21" s="301"/>
      <c r="AEK21" s="301"/>
      <c r="AEL21" s="301"/>
      <c r="AEM21" s="301"/>
      <c r="AEN21" s="301"/>
      <c r="AEO21" s="301"/>
      <c r="AEP21" s="301"/>
      <c r="AEQ21" s="301"/>
      <c r="AER21" s="301"/>
      <c r="AES21" s="301"/>
      <c r="AET21" s="301"/>
      <c r="AEU21" s="301"/>
      <c r="AEV21" s="301"/>
      <c r="AEW21" s="301"/>
      <c r="AEX21" s="301"/>
      <c r="AEY21" s="301"/>
      <c r="AEZ21" s="301"/>
      <c r="AFA21" s="301"/>
      <c r="AFB21" s="301"/>
      <c r="AFC21" s="301"/>
      <c r="AFD21" s="301"/>
      <c r="AFE21" s="301"/>
      <c r="AFF21" s="301"/>
      <c r="AFG21" s="301"/>
      <c r="AFH21" s="301"/>
      <c r="AFI21" s="301"/>
      <c r="AFJ21" s="301"/>
      <c r="AFK21" s="301"/>
      <c r="AFL21" s="301"/>
      <c r="AFM21" s="301"/>
      <c r="AFN21" s="301"/>
      <c r="AFO21" s="301"/>
      <c r="AFP21" s="301"/>
      <c r="AFQ21" s="301"/>
      <c r="AFR21" s="301"/>
      <c r="AFS21" s="301"/>
      <c r="AFT21" s="301"/>
      <c r="AFU21" s="301"/>
      <c r="AFV21" s="301"/>
      <c r="AFW21" s="301"/>
      <c r="AFX21" s="301"/>
      <c r="AFY21" s="301"/>
      <c r="AFZ21" s="301"/>
      <c r="AGA21" s="301"/>
      <c r="AGB21" s="301"/>
      <c r="AGC21" s="301"/>
      <c r="AGD21" s="301"/>
      <c r="AGE21" s="301"/>
      <c r="AGF21" s="301"/>
      <c r="AGG21" s="301"/>
      <c r="AGH21" s="301"/>
      <c r="AGI21" s="301"/>
      <c r="AGJ21" s="301"/>
      <c r="AGK21" s="301"/>
      <c r="AGL21" s="301"/>
      <c r="AGM21" s="301"/>
      <c r="AGN21" s="301"/>
      <c r="AGO21" s="301"/>
      <c r="AGP21" s="301"/>
      <c r="AGQ21" s="301"/>
      <c r="AGR21" s="301"/>
      <c r="AGS21" s="301"/>
      <c r="AGT21" s="301"/>
      <c r="AGU21" s="301"/>
      <c r="AGV21" s="301"/>
      <c r="AGW21" s="301"/>
      <c r="AGX21" s="301"/>
      <c r="AGY21" s="301"/>
      <c r="AGZ21" s="301"/>
      <c r="AHA21" s="301"/>
      <c r="AHB21" s="301"/>
      <c r="AHC21" s="301"/>
      <c r="AHD21" s="301"/>
      <c r="AHE21" s="301"/>
      <c r="AHF21" s="301"/>
      <c r="AHG21" s="301"/>
      <c r="AHH21" s="301"/>
      <c r="AHI21" s="301"/>
      <c r="AHJ21" s="301"/>
      <c r="AHK21" s="301"/>
      <c r="AHL21" s="301"/>
      <c r="AHM21" s="301"/>
      <c r="AHN21" s="301"/>
      <c r="AHO21" s="301"/>
      <c r="AHP21" s="301"/>
      <c r="AHQ21" s="301"/>
      <c r="AHR21" s="301"/>
      <c r="AHS21" s="301"/>
      <c r="AHT21" s="301"/>
      <c r="AHU21" s="301"/>
      <c r="AHV21" s="301"/>
      <c r="AHW21" s="301"/>
      <c r="AHX21" s="301"/>
      <c r="AHY21" s="301"/>
      <c r="AHZ21" s="301"/>
      <c r="AIA21" s="301"/>
      <c r="AIB21" s="301"/>
      <c r="AIC21" s="301"/>
      <c r="AID21" s="301"/>
      <c r="AIE21" s="301"/>
      <c r="AIF21" s="301"/>
      <c r="AIG21" s="301"/>
      <c r="AIH21" s="301"/>
      <c r="AII21" s="301"/>
      <c r="AIJ21" s="301"/>
      <c r="AIK21" s="301"/>
      <c r="AIL21" s="301"/>
      <c r="AIM21" s="301"/>
      <c r="AIN21" s="301"/>
      <c r="AIO21" s="301"/>
      <c r="AIP21" s="301"/>
      <c r="AIQ21" s="301"/>
      <c r="AIR21" s="301"/>
      <c r="AIS21" s="301"/>
      <c r="AIT21" s="301"/>
      <c r="AIU21" s="301"/>
      <c r="AIV21" s="301"/>
      <c r="AIW21" s="301"/>
      <c r="AIX21" s="301"/>
      <c r="AIY21" s="301"/>
      <c r="AIZ21" s="301"/>
      <c r="AJA21" s="301"/>
      <c r="AJB21" s="301"/>
      <c r="AJC21" s="301"/>
      <c r="AJD21" s="301"/>
      <c r="AJE21" s="301"/>
      <c r="AJF21" s="301"/>
      <c r="AJG21" s="301"/>
      <c r="AJH21" s="301"/>
      <c r="AJI21" s="301"/>
      <c r="AJJ21" s="301"/>
      <c r="AJK21" s="301"/>
      <c r="AJL21" s="301"/>
      <c r="AJM21" s="301"/>
      <c r="AJN21" s="301"/>
      <c r="AJO21" s="301"/>
      <c r="AJP21" s="301"/>
      <c r="AJQ21" s="301"/>
      <c r="AJR21" s="301"/>
      <c r="AJS21" s="301"/>
      <c r="AJT21" s="301"/>
      <c r="AJU21" s="301"/>
      <c r="AJV21" s="301"/>
      <c r="AJW21" s="301"/>
      <c r="AJX21" s="301"/>
      <c r="AJY21" s="301"/>
      <c r="AJZ21" s="301"/>
      <c r="AKA21" s="301"/>
      <c r="AKB21" s="301"/>
      <c r="AKC21" s="301"/>
      <c r="AKD21" s="301"/>
      <c r="AKE21" s="301"/>
      <c r="AKF21" s="301"/>
      <c r="AKG21" s="301"/>
      <c r="AKH21" s="301"/>
      <c r="AKI21" s="301"/>
      <c r="AKJ21" s="301"/>
      <c r="AKK21" s="301"/>
      <c r="AKL21" s="301"/>
      <c r="AKM21" s="301"/>
      <c r="AKN21" s="301"/>
      <c r="AKO21" s="301"/>
      <c r="AKP21" s="301"/>
      <c r="AKQ21" s="301"/>
      <c r="AKR21" s="301"/>
      <c r="AKS21" s="301"/>
      <c r="AKT21" s="301"/>
      <c r="AKU21" s="301"/>
      <c r="AKV21" s="301"/>
      <c r="AKW21" s="301"/>
      <c r="AKX21" s="301"/>
      <c r="AKY21" s="301"/>
      <c r="AKZ21" s="301"/>
      <c r="ALA21" s="301"/>
      <c r="ALB21" s="301"/>
      <c r="ALC21" s="301"/>
      <c r="ALD21" s="301"/>
      <c r="ALE21" s="301"/>
      <c r="ALF21" s="301"/>
      <c r="ALG21" s="301"/>
      <c r="ALH21" s="301"/>
      <c r="ALI21" s="301"/>
      <c r="ALJ21" s="301"/>
      <c r="ALK21" s="301"/>
      <c r="ALL21" s="301"/>
      <c r="ALM21" s="301"/>
      <c r="ALN21" s="301"/>
      <c r="ALO21" s="301"/>
      <c r="ALP21" s="301"/>
      <c r="ALQ21" s="301"/>
      <c r="ALR21" s="301"/>
      <c r="ALS21" s="301"/>
      <c r="ALT21" s="301"/>
      <c r="ALU21" s="301"/>
      <c r="ALV21" s="301"/>
      <c r="ALW21" s="301"/>
      <c r="ALX21" s="301"/>
      <c r="ALY21" s="301"/>
      <c r="ALZ21" s="301"/>
      <c r="AMA21" s="301"/>
      <c r="AMB21" s="301"/>
      <c r="AMC21" s="301"/>
      <c r="AMD21" s="301"/>
      <c r="AME21" s="301"/>
      <c r="AMF21" s="301"/>
      <c r="AMG21" s="301"/>
      <c r="AMH21" s="301"/>
      <c r="AMI21" s="301"/>
      <c r="AMJ21" s="301"/>
    </row>
    <row r="22" customFormat="false" ht="12.8" hidden="false" customHeight="false" outlineLevel="0" collapsed="false">
      <c r="A22" s="299" t="s">
        <v>205</v>
      </c>
      <c r="B22" s="310"/>
      <c r="C22" s="311" t="str">
        <f aca="false">IF(B22&gt;0,1,"")</f>
        <v/>
      </c>
      <c r="D22" s="310"/>
      <c r="E22" s="311" t="str">
        <f aca="false">IF(D22&gt;0,1,"")</f>
        <v/>
      </c>
      <c r="F22" s="310" t="n">
        <v>0</v>
      </c>
      <c r="G22" s="311" t="str">
        <f aca="false">IF(F22&gt;0,1,"")</f>
        <v/>
      </c>
      <c r="H22" s="310"/>
      <c r="I22" s="311" t="str">
        <f aca="false">IF(H22&gt;0,1,"")</f>
        <v/>
      </c>
      <c r="J22" s="326" t="str">
        <f aca="false">IF(SUM(C22,E22,G22,I22)&gt;1,"ERROR",IF(B22&gt;=1,B22*52,IF(D22&gt;=1,D22*26,IF(F22&gt;=1,F22*12,IF(H22&gt;=1,H22*4,"")))))</f>
        <v/>
      </c>
      <c r="K22" s="301"/>
      <c r="L22" s="301"/>
      <c r="M22" s="301"/>
      <c r="N22" s="301"/>
      <c r="O22" s="301"/>
      <c r="P22" s="301"/>
      <c r="Q22" s="301"/>
      <c r="R22" s="301"/>
      <c r="S22" s="301"/>
      <c r="T22" s="301"/>
      <c r="U22" s="301"/>
      <c r="V22" s="301"/>
      <c r="W22" s="301"/>
      <c r="X22" s="301"/>
      <c r="Y22" s="301"/>
      <c r="Z22" s="301"/>
      <c r="AA22" s="301"/>
      <c r="AB22" s="301"/>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301"/>
      <c r="BC22" s="301"/>
      <c r="BD22" s="301"/>
      <c r="BE22" s="301"/>
      <c r="BF22" s="301"/>
      <c r="BG22" s="301"/>
      <c r="BH22" s="301"/>
      <c r="BI22" s="301"/>
      <c r="BJ22" s="301"/>
      <c r="BK22" s="301"/>
      <c r="BL22" s="301"/>
      <c r="BM22" s="301"/>
      <c r="BN22" s="301"/>
      <c r="BO22" s="301"/>
      <c r="BP22" s="301"/>
      <c r="BQ22" s="301"/>
      <c r="BR22" s="301"/>
      <c r="BS22" s="301"/>
      <c r="BT22" s="301"/>
      <c r="BU22" s="301"/>
      <c r="BV22" s="301"/>
      <c r="BW22" s="301"/>
      <c r="BX22" s="301"/>
      <c r="BY22" s="301"/>
      <c r="BZ22" s="301"/>
      <c r="CA22" s="301"/>
      <c r="CB22" s="301"/>
      <c r="CC22" s="301"/>
      <c r="CD22" s="301"/>
      <c r="CE22" s="301"/>
      <c r="CF22" s="301"/>
      <c r="CG22" s="301"/>
      <c r="CH22" s="301"/>
      <c r="CI22" s="301"/>
      <c r="CJ22" s="301"/>
      <c r="CK22" s="301"/>
      <c r="CL22" s="301"/>
      <c r="CM22" s="301"/>
      <c r="CN22" s="301"/>
      <c r="CO22" s="301"/>
      <c r="CP22" s="301"/>
      <c r="CQ22" s="301"/>
      <c r="CR22" s="301"/>
      <c r="CS22" s="301"/>
      <c r="CT22" s="301"/>
      <c r="CU22" s="301"/>
      <c r="CV22" s="301"/>
      <c r="CW22" s="301"/>
      <c r="CX22" s="301"/>
      <c r="CY22" s="301"/>
      <c r="CZ22" s="301"/>
      <c r="DA22" s="301"/>
      <c r="DB22" s="301"/>
      <c r="DC22" s="301"/>
      <c r="DD22" s="301"/>
      <c r="DE22" s="301"/>
      <c r="DF22" s="301"/>
      <c r="DG22" s="301"/>
      <c r="DH22" s="301"/>
      <c r="DI22" s="301"/>
      <c r="DJ22" s="301"/>
      <c r="DK22" s="301"/>
      <c r="DL22" s="301"/>
      <c r="DM22" s="301"/>
      <c r="DN22" s="301"/>
      <c r="DO22" s="301"/>
      <c r="DP22" s="301"/>
      <c r="DQ22" s="301"/>
      <c r="DR22" s="301"/>
      <c r="DS22" s="301"/>
      <c r="DT22" s="301"/>
      <c r="DU22" s="301"/>
      <c r="DV22" s="301"/>
      <c r="DW22" s="301"/>
      <c r="DX22" s="301"/>
      <c r="DY22" s="301"/>
      <c r="DZ22" s="301"/>
      <c r="EA22" s="301"/>
      <c r="EB22" s="301"/>
      <c r="EC22" s="301"/>
      <c r="ED22" s="301"/>
      <c r="EE22" s="301"/>
      <c r="EF22" s="301"/>
      <c r="EG22" s="301"/>
      <c r="EH22" s="301"/>
      <c r="EI22" s="301"/>
      <c r="EJ22" s="301"/>
      <c r="EK22" s="301"/>
      <c r="EL22" s="301"/>
      <c r="EM22" s="301"/>
      <c r="EN22" s="301"/>
      <c r="EO22" s="301"/>
      <c r="EP22" s="301"/>
      <c r="EQ22" s="301"/>
      <c r="ER22" s="301"/>
      <c r="ES22" s="301"/>
      <c r="ET22" s="301"/>
      <c r="EU22" s="301"/>
      <c r="EV22" s="301"/>
      <c r="EW22" s="301"/>
      <c r="EX22" s="301"/>
      <c r="EY22" s="301"/>
      <c r="EZ22" s="301"/>
      <c r="FA22" s="301"/>
      <c r="FB22" s="301"/>
      <c r="FC22" s="301"/>
      <c r="FD22" s="301"/>
      <c r="FE22" s="301"/>
      <c r="FF22" s="301"/>
      <c r="FG22" s="301"/>
      <c r="FH22" s="301"/>
      <c r="FI22" s="301"/>
      <c r="FJ22" s="301"/>
      <c r="FK22" s="301"/>
      <c r="FL22" s="301"/>
      <c r="FM22" s="301"/>
      <c r="FN22" s="301"/>
      <c r="FO22" s="301"/>
      <c r="FP22" s="301"/>
      <c r="FQ22" s="301"/>
      <c r="FR22" s="301"/>
      <c r="FS22" s="301"/>
      <c r="FT22" s="301"/>
      <c r="FU22" s="301"/>
      <c r="FV22" s="301"/>
      <c r="FW22" s="301"/>
      <c r="FX22" s="301"/>
      <c r="FY22" s="301"/>
      <c r="FZ22" s="301"/>
      <c r="GA22" s="301"/>
      <c r="GB22" s="301"/>
      <c r="GC22" s="301"/>
      <c r="GD22" s="301"/>
      <c r="GE22" s="301"/>
      <c r="GF22" s="301"/>
      <c r="GG22" s="301"/>
      <c r="GH22" s="301"/>
      <c r="GI22" s="301"/>
      <c r="GJ22" s="301"/>
      <c r="GK22" s="301"/>
      <c r="GL22" s="301"/>
      <c r="GM22" s="301"/>
      <c r="GN22" s="301"/>
      <c r="GO22" s="301"/>
      <c r="GP22" s="301"/>
      <c r="GQ22" s="301"/>
      <c r="GR22" s="301"/>
      <c r="GS22" s="301"/>
      <c r="GT22" s="301"/>
      <c r="GU22" s="301"/>
      <c r="GV22" s="301"/>
      <c r="GW22" s="301"/>
      <c r="GX22" s="301"/>
      <c r="GY22" s="301"/>
      <c r="GZ22" s="301"/>
      <c r="HA22" s="301"/>
      <c r="HB22" s="301"/>
      <c r="HC22" s="301"/>
      <c r="HD22" s="301"/>
      <c r="HE22" s="301"/>
      <c r="HF22" s="301"/>
      <c r="HG22" s="301"/>
      <c r="HH22" s="301"/>
      <c r="HI22" s="301"/>
      <c r="HJ22" s="301"/>
      <c r="HK22" s="301"/>
      <c r="HL22" s="301"/>
      <c r="HM22" s="301"/>
      <c r="HN22" s="301"/>
      <c r="HO22" s="301"/>
      <c r="HP22" s="301"/>
      <c r="HQ22" s="301"/>
      <c r="HR22" s="301"/>
      <c r="HS22" s="301"/>
      <c r="HT22" s="301"/>
      <c r="HU22" s="301"/>
      <c r="HV22" s="301"/>
      <c r="HW22" s="301"/>
      <c r="HX22" s="301"/>
      <c r="HY22" s="301"/>
      <c r="HZ22" s="301"/>
      <c r="IA22" s="301"/>
      <c r="IB22" s="301"/>
      <c r="IC22" s="301"/>
      <c r="ID22" s="301"/>
      <c r="IE22" s="301"/>
      <c r="IF22" s="301"/>
      <c r="IG22" s="301"/>
      <c r="IH22" s="301"/>
      <c r="II22" s="301"/>
      <c r="IJ22" s="301"/>
      <c r="IK22" s="301"/>
      <c r="IL22" s="301"/>
      <c r="IM22" s="301"/>
      <c r="IN22" s="301"/>
      <c r="IO22" s="301"/>
      <c r="IP22" s="301"/>
      <c r="IQ22" s="301"/>
      <c r="IR22" s="301"/>
      <c r="IS22" s="301"/>
      <c r="IT22" s="301"/>
      <c r="IU22" s="301"/>
      <c r="IV22" s="301"/>
      <c r="IW22" s="301"/>
      <c r="IX22" s="301"/>
      <c r="IY22" s="301"/>
      <c r="IZ22" s="301"/>
      <c r="JA22" s="301"/>
      <c r="JB22" s="301"/>
      <c r="JC22" s="301"/>
      <c r="JD22" s="301"/>
      <c r="JE22" s="301"/>
      <c r="JF22" s="301"/>
      <c r="JG22" s="301"/>
      <c r="JH22" s="301"/>
      <c r="JI22" s="301"/>
      <c r="JJ22" s="301"/>
      <c r="JK22" s="301"/>
      <c r="JL22" s="301"/>
      <c r="JM22" s="301"/>
      <c r="JN22" s="301"/>
      <c r="JO22" s="301"/>
      <c r="JP22" s="301"/>
      <c r="JQ22" s="301"/>
      <c r="JR22" s="301"/>
      <c r="JS22" s="301"/>
      <c r="JT22" s="301"/>
      <c r="JU22" s="301"/>
      <c r="JV22" s="301"/>
      <c r="JW22" s="301"/>
      <c r="JX22" s="301"/>
      <c r="JY22" s="301"/>
      <c r="JZ22" s="301"/>
      <c r="KA22" s="301"/>
      <c r="KB22" s="301"/>
      <c r="KC22" s="301"/>
      <c r="KD22" s="301"/>
      <c r="KE22" s="301"/>
      <c r="KF22" s="301"/>
      <c r="KG22" s="301"/>
      <c r="KH22" s="301"/>
      <c r="KI22" s="301"/>
      <c r="KJ22" s="301"/>
      <c r="KK22" s="301"/>
      <c r="KL22" s="301"/>
      <c r="KM22" s="301"/>
      <c r="KN22" s="301"/>
      <c r="KO22" s="301"/>
      <c r="KP22" s="301"/>
      <c r="KQ22" s="301"/>
      <c r="KR22" s="301"/>
      <c r="KS22" s="301"/>
      <c r="KT22" s="301"/>
      <c r="KU22" s="301"/>
      <c r="KV22" s="301"/>
      <c r="KW22" s="301"/>
      <c r="KX22" s="301"/>
      <c r="KY22" s="301"/>
      <c r="KZ22" s="301"/>
      <c r="LA22" s="301"/>
      <c r="LB22" s="301"/>
      <c r="LC22" s="301"/>
      <c r="LD22" s="301"/>
      <c r="LE22" s="301"/>
      <c r="LF22" s="301"/>
      <c r="LG22" s="301"/>
      <c r="LH22" s="301"/>
      <c r="LI22" s="301"/>
      <c r="LJ22" s="301"/>
      <c r="LK22" s="301"/>
      <c r="LL22" s="301"/>
      <c r="LM22" s="301"/>
      <c r="LN22" s="301"/>
      <c r="LO22" s="301"/>
      <c r="LP22" s="301"/>
      <c r="LQ22" s="301"/>
      <c r="LR22" s="301"/>
      <c r="LS22" s="301"/>
      <c r="LT22" s="301"/>
      <c r="LU22" s="301"/>
      <c r="LV22" s="301"/>
      <c r="LW22" s="301"/>
      <c r="LX22" s="301"/>
      <c r="LY22" s="301"/>
      <c r="LZ22" s="301"/>
      <c r="MA22" s="301"/>
      <c r="MB22" s="301"/>
      <c r="MC22" s="301"/>
      <c r="MD22" s="301"/>
      <c r="ME22" s="301"/>
      <c r="MF22" s="301"/>
      <c r="MG22" s="301"/>
      <c r="MH22" s="301"/>
      <c r="MI22" s="301"/>
      <c r="MJ22" s="301"/>
      <c r="MK22" s="301"/>
      <c r="ML22" s="301"/>
      <c r="MM22" s="301"/>
      <c r="MN22" s="301"/>
      <c r="MO22" s="301"/>
      <c r="MP22" s="301"/>
      <c r="MQ22" s="301"/>
      <c r="MR22" s="301"/>
      <c r="MS22" s="301"/>
      <c r="MT22" s="301"/>
      <c r="MU22" s="301"/>
      <c r="MV22" s="301"/>
      <c r="MW22" s="301"/>
      <c r="MX22" s="301"/>
      <c r="MY22" s="301"/>
      <c r="MZ22" s="301"/>
      <c r="NA22" s="301"/>
      <c r="NB22" s="301"/>
      <c r="NC22" s="301"/>
      <c r="ND22" s="301"/>
      <c r="NE22" s="301"/>
      <c r="NF22" s="301"/>
      <c r="NG22" s="301"/>
      <c r="NH22" s="301"/>
      <c r="NI22" s="301"/>
      <c r="NJ22" s="301"/>
      <c r="NK22" s="301"/>
      <c r="NL22" s="301"/>
      <c r="NM22" s="301"/>
      <c r="NN22" s="301"/>
      <c r="NO22" s="301"/>
      <c r="NP22" s="301"/>
      <c r="NQ22" s="301"/>
      <c r="NR22" s="301"/>
      <c r="NS22" s="301"/>
      <c r="NT22" s="301"/>
      <c r="NU22" s="301"/>
      <c r="NV22" s="301"/>
      <c r="NW22" s="301"/>
      <c r="NX22" s="301"/>
      <c r="NY22" s="301"/>
      <c r="NZ22" s="301"/>
      <c r="OA22" s="301"/>
      <c r="OB22" s="301"/>
      <c r="OC22" s="301"/>
      <c r="OD22" s="301"/>
      <c r="OE22" s="301"/>
      <c r="OF22" s="301"/>
      <c r="OG22" s="301"/>
      <c r="OH22" s="301"/>
      <c r="OI22" s="301"/>
      <c r="OJ22" s="301"/>
      <c r="OK22" s="301"/>
      <c r="OL22" s="301"/>
      <c r="OM22" s="301"/>
      <c r="ON22" s="301"/>
      <c r="OO22" s="301"/>
      <c r="OP22" s="301"/>
      <c r="OQ22" s="301"/>
      <c r="OR22" s="301"/>
      <c r="OS22" s="301"/>
      <c r="OT22" s="301"/>
      <c r="OU22" s="301"/>
      <c r="OV22" s="301"/>
      <c r="OW22" s="301"/>
      <c r="OX22" s="301"/>
      <c r="OY22" s="301"/>
      <c r="OZ22" s="301"/>
      <c r="PA22" s="301"/>
      <c r="PB22" s="301"/>
      <c r="PC22" s="301"/>
      <c r="PD22" s="301"/>
      <c r="PE22" s="301"/>
      <c r="PF22" s="301"/>
      <c r="PG22" s="301"/>
      <c r="PH22" s="301"/>
      <c r="PI22" s="301"/>
      <c r="PJ22" s="301"/>
      <c r="PK22" s="301"/>
      <c r="PL22" s="301"/>
      <c r="PM22" s="301"/>
      <c r="PN22" s="301"/>
      <c r="PO22" s="301"/>
      <c r="PP22" s="301"/>
      <c r="PQ22" s="301"/>
      <c r="PR22" s="301"/>
      <c r="PS22" s="301"/>
      <c r="PT22" s="301"/>
      <c r="PU22" s="301"/>
      <c r="PV22" s="301"/>
      <c r="PW22" s="301"/>
      <c r="PX22" s="301"/>
      <c r="PY22" s="301"/>
      <c r="PZ22" s="301"/>
      <c r="QA22" s="301"/>
      <c r="QB22" s="301"/>
      <c r="QC22" s="301"/>
      <c r="QD22" s="301"/>
      <c r="QE22" s="301"/>
      <c r="QF22" s="301"/>
      <c r="QG22" s="301"/>
      <c r="QH22" s="301"/>
      <c r="QI22" s="301"/>
      <c r="QJ22" s="301"/>
      <c r="QK22" s="301"/>
      <c r="QL22" s="301"/>
      <c r="QM22" s="301"/>
      <c r="QN22" s="301"/>
      <c r="QO22" s="301"/>
      <c r="QP22" s="301"/>
      <c r="QQ22" s="301"/>
      <c r="QR22" s="301"/>
      <c r="QS22" s="301"/>
      <c r="QT22" s="301"/>
      <c r="QU22" s="301"/>
      <c r="QV22" s="301"/>
      <c r="QW22" s="301"/>
      <c r="QX22" s="301"/>
      <c r="QY22" s="301"/>
      <c r="QZ22" s="301"/>
      <c r="RA22" s="301"/>
      <c r="RB22" s="301"/>
      <c r="RC22" s="301"/>
      <c r="RD22" s="301"/>
      <c r="RE22" s="301"/>
      <c r="RF22" s="301"/>
      <c r="RG22" s="301"/>
      <c r="RH22" s="301"/>
      <c r="RI22" s="301"/>
      <c r="RJ22" s="301"/>
      <c r="RK22" s="301"/>
      <c r="RL22" s="301"/>
      <c r="RM22" s="301"/>
      <c r="RN22" s="301"/>
      <c r="RO22" s="301"/>
      <c r="RP22" s="301"/>
      <c r="RQ22" s="301"/>
      <c r="RR22" s="301"/>
      <c r="RS22" s="301"/>
      <c r="RT22" s="301"/>
      <c r="RU22" s="301"/>
      <c r="RV22" s="301"/>
      <c r="RW22" s="301"/>
      <c r="RX22" s="301"/>
      <c r="RY22" s="301"/>
      <c r="RZ22" s="301"/>
      <c r="SA22" s="301"/>
      <c r="SB22" s="301"/>
      <c r="SC22" s="301"/>
      <c r="SD22" s="301"/>
      <c r="SE22" s="301"/>
      <c r="SF22" s="301"/>
      <c r="SG22" s="301"/>
      <c r="SH22" s="301"/>
      <c r="SI22" s="301"/>
      <c r="SJ22" s="301"/>
      <c r="SK22" s="301"/>
      <c r="SL22" s="301"/>
      <c r="SM22" s="301"/>
      <c r="SN22" s="301"/>
      <c r="SO22" s="301"/>
      <c r="SP22" s="301"/>
      <c r="SQ22" s="301"/>
      <c r="SR22" s="301"/>
      <c r="SS22" s="301"/>
      <c r="ST22" s="301"/>
      <c r="SU22" s="301"/>
      <c r="SV22" s="301"/>
      <c r="SW22" s="301"/>
      <c r="SX22" s="301"/>
      <c r="SY22" s="301"/>
      <c r="SZ22" s="301"/>
      <c r="TA22" s="301"/>
      <c r="TB22" s="301"/>
      <c r="TC22" s="301"/>
      <c r="TD22" s="301"/>
      <c r="TE22" s="301"/>
      <c r="TF22" s="301"/>
      <c r="TG22" s="301"/>
      <c r="TH22" s="301"/>
      <c r="TI22" s="301"/>
      <c r="TJ22" s="301"/>
      <c r="TK22" s="301"/>
      <c r="TL22" s="301"/>
      <c r="TM22" s="301"/>
      <c r="TN22" s="301"/>
      <c r="TO22" s="301"/>
      <c r="TP22" s="301"/>
      <c r="TQ22" s="301"/>
      <c r="TR22" s="301"/>
      <c r="TS22" s="301"/>
      <c r="TT22" s="301"/>
      <c r="TU22" s="301"/>
      <c r="TV22" s="301"/>
      <c r="TW22" s="301"/>
      <c r="TX22" s="301"/>
      <c r="TY22" s="301"/>
      <c r="TZ22" s="301"/>
      <c r="UA22" s="301"/>
      <c r="UB22" s="301"/>
      <c r="UC22" s="301"/>
      <c r="UD22" s="301"/>
      <c r="UE22" s="301"/>
      <c r="UF22" s="301"/>
      <c r="UG22" s="301"/>
      <c r="UH22" s="301"/>
      <c r="UI22" s="301"/>
      <c r="UJ22" s="301"/>
      <c r="UK22" s="301"/>
      <c r="UL22" s="301"/>
      <c r="UM22" s="301"/>
      <c r="UN22" s="301"/>
      <c r="UO22" s="301"/>
      <c r="UP22" s="301"/>
      <c r="UQ22" s="301"/>
      <c r="UR22" s="301"/>
      <c r="US22" s="301"/>
      <c r="UT22" s="301"/>
      <c r="UU22" s="301"/>
      <c r="UV22" s="301"/>
      <c r="UW22" s="301"/>
      <c r="UX22" s="301"/>
      <c r="UY22" s="301"/>
      <c r="UZ22" s="301"/>
      <c r="VA22" s="301"/>
      <c r="VB22" s="301"/>
      <c r="VC22" s="301"/>
      <c r="VD22" s="301"/>
      <c r="VE22" s="301"/>
      <c r="VF22" s="301"/>
      <c r="VG22" s="301"/>
      <c r="VH22" s="301"/>
      <c r="VI22" s="301"/>
      <c r="VJ22" s="301"/>
      <c r="VK22" s="301"/>
      <c r="VL22" s="301"/>
      <c r="VM22" s="301"/>
      <c r="VN22" s="301"/>
      <c r="VO22" s="301"/>
      <c r="VP22" s="301"/>
      <c r="VQ22" s="301"/>
      <c r="VR22" s="301"/>
      <c r="VS22" s="301"/>
      <c r="VT22" s="301"/>
      <c r="VU22" s="301"/>
      <c r="VV22" s="301"/>
      <c r="VW22" s="301"/>
      <c r="VX22" s="301"/>
      <c r="VY22" s="301"/>
      <c r="VZ22" s="301"/>
      <c r="WA22" s="301"/>
      <c r="WB22" s="301"/>
      <c r="WC22" s="301"/>
      <c r="WD22" s="301"/>
      <c r="WE22" s="301"/>
      <c r="WF22" s="301"/>
      <c r="WG22" s="301"/>
      <c r="WH22" s="301"/>
      <c r="WI22" s="301"/>
      <c r="WJ22" s="301"/>
      <c r="WK22" s="301"/>
      <c r="WL22" s="301"/>
      <c r="WM22" s="301"/>
      <c r="WN22" s="301"/>
      <c r="WO22" s="301"/>
      <c r="WP22" s="301"/>
      <c r="WQ22" s="301"/>
      <c r="WR22" s="301"/>
      <c r="WS22" s="301"/>
      <c r="WT22" s="301"/>
      <c r="WU22" s="301"/>
      <c r="WV22" s="301"/>
      <c r="WW22" s="301"/>
      <c r="WX22" s="301"/>
      <c r="WY22" s="301"/>
      <c r="WZ22" s="301"/>
      <c r="XA22" s="301"/>
      <c r="XB22" s="301"/>
      <c r="XC22" s="301"/>
      <c r="XD22" s="301"/>
      <c r="XE22" s="301"/>
      <c r="XF22" s="301"/>
      <c r="XG22" s="301"/>
      <c r="XH22" s="301"/>
      <c r="XI22" s="301"/>
      <c r="XJ22" s="301"/>
      <c r="XK22" s="301"/>
      <c r="XL22" s="301"/>
      <c r="XM22" s="301"/>
      <c r="XN22" s="301"/>
      <c r="XO22" s="301"/>
      <c r="XP22" s="301"/>
      <c r="XQ22" s="301"/>
      <c r="XR22" s="301"/>
      <c r="XS22" s="301"/>
      <c r="XT22" s="301"/>
      <c r="XU22" s="301"/>
      <c r="XV22" s="301"/>
      <c r="XW22" s="301"/>
      <c r="XX22" s="301"/>
      <c r="XY22" s="301"/>
      <c r="XZ22" s="301"/>
      <c r="YA22" s="301"/>
      <c r="YB22" s="301"/>
      <c r="YC22" s="301"/>
      <c r="YD22" s="301"/>
      <c r="YE22" s="301"/>
      <c r="YF22" s="301"/>
      <c r="YG22" s="301"/>
      <c r="YH22" s="301"/>
      <c r="YI22" s="301"/>
      <c r="YJ22" s="301"/>
      <c r="YK22" s="301"/>
      <c r="YL22" s="301"/>
      <c r="YM22" s="301"/>
      <c r="YN22" s="301"/>
      <c r="YO22" s="301"/>
      <c r="YP22" s="301"/>
      <c r="YQ22" s="301"/>
      <c r="YR22" s="301"/>
      <c r="YS22" s="301"/>
      <c r="YT22" s="301"/>
      <c r="YU22" s="301"/>
      <c r="YV22" s="301"/>
      <c r="YW22" s="301"/>
      <c r="YX22" s="301"/>
      <c r="YY22" s="301"/>
      <c r="YZ22" s="301"/>
      <c r="ZA22" s="301"/>
      <c r="ZB22" s="301"/>
      <c r="ZC22" s="301"/>
      <c r="ZD22" s="301"/>
      <c r="ZE22" s="301"/>
      <c r="ZF22" s="301"/>
      <c r="ZG22" s="301"/>
      <c r="ZH22" s="301"/>
      <c r="ZI22" s="301"/>
      <c r="ZJ22" s="301"/>
      <c r="ZK22" s="301"/>
      <c r="ZL22" s="301"/>
      <c r="ZM22" s="301"/>
      <c r="ZN22" s="301"/>
      <c r="ZO22" s="301"/>
      <c r="ZP22" s="301"/>
      <c r="ZQ22" s="301"/>
      <c r="ZR22" s="301"/>
      <c r="ZS22" s="301"/>
      <c r="ZT22" s="301"/>
      <c r="ZU22" s="301"/>
      <c r="ZV22" s="301"/>
      <c r="ZW22" s="301"/>
      <c r="ZX22" s="301"/>
      <c r="ZY22" s="301"/>
      <c r="ZZ22" s="301"/>
      <c r="AAA22" s="301"/>
      <c r="AAB22" s="301"/>
      <c r="AAC22" s="301"/>
      <c r="AAD22" s="301"/>
      <c r="AAE22" s="301"/>
      <c r="AAF22" s="301"/>
      <c r="AAG22" s="301"/>
      <c r="AAH22" s="301"/>
      <c r="AAI22" s="301"/>
      <c r="AAJ22" s="301"/>
      <c r="AAK22" s="301"/>
      <c r="AAL22" s="301"/>
      <c r="AAM22" s="301"/>
      <c r="AAN22" s="301"/>
      <c r="AAO22" s="301"/>
      <c r="AAP22" s="301"/>
      <c r="AAQ22" s="301"/>
      <c r="AAR22" s="301"/>
      <c r="AAS22" s="301"/>
      <c r="AAT22" s="301"/>
      <c r="AAU22" s="301"/>
      <c r="AAV22" s="301"/>
      <c r="AAW22" s="301"/>
      <c r="AAX22" s="301"/>
      <c r="AAY22" s="301"/>
      <c r="AAZ22" s="301"/>
      <c r="ABA22" s="301"/>
      <c r="ABB22" s="301"/>
      <c r="ABC22" s="301"/>
      <c r="ABD22" s="301"/>
      <c r="ABE22" s="301"/>
      <c r="ABF22" s="301"/>
      <c r="ABG22" s="301"/>
      <c r="ABH22" s="301"/>
      <c r="ABI22" s="301"/>
      <c r="ABJ22" s="301"/>
      <c r="ABK22" s="301"/>
      <c r="ABL22" s="301"/>
      <c r="ABM22" s="301"/>
      <c r="ABN22" s="301"/>
      <c r="ABO22" s="301"/>
      <c r="ABP22" s="301"/>
      <c r="ABQ22" s="301"/>
      <c r="ABR22" s="301"/>
      <c r="ABS22" s="301"/>
      <c r="ABT22" s="301"/>
      <c r="ABU22" s="301"/>
      <c r="ABV22" s="301"/>
      <c r="ABW22" s="301"/>
      <c r="ABX22" s="301"/>
      <c r="ABY22" s="301"/>
      <c r="ABZ22" s="301"/>
      <c r="ACA22" s="301"/>
      <c r="ACB22" s="301"/>
      <c r="ACC22" s="301"/>
      <c r="ACD22" s="301"/>
      <c r="ACE22" s="301"/>
      <c r="ACF22" s="301"/>
      <c r="ACG22" s="301"/>
      <c r="ACH22" s="301"/>
      <c r="ACI22" s="301"/>
      <c r="ACJ22" s="301"/>
      <c r="ACK22" s="301"/>
      <c r="ACL22" s="301"/>
      <c r="ACM22" s="301"/>
      <c r="ACN22" s="301"/>
      <c r="ACO22" s="301"/>
      <c r="ACP22" s="301"/>
      <c r="ACQ22" s="301"/>
      <c r="ACR22" s="301"/>
      <c r="ACS22" s="301"/>
      <c r="ACT22" s="301"/>
      <c r="ACU22" s="301"/>
      <c r="ACV22" s="301"/>
      <c r="ACW22" s="301"/>
      <c r="ACX22" s="301"/>
      <c r="ACY22" s="301"/>
      <c r="ACZ22" s="301"/>
      <c r="ADA22" s="301"/>
      <c r="ADB22" s="301"/>
      <c r="ADC22" s="301"/>
      <c r="ADD22" s="301"/>
      <c r="ADE22" s="301"/>
      <c r="ADF22" s="301"/>
      <c r="ADG22" s="301"/>
      <c r="ADH22" s="301"/>
      <c r="ADI22" s="301"/>
      <c r="ADJ22" s="301"/>
      <c r="ADK22" s="301"/>
      <c r="ADL22" s="301"/>
      <c r="ADM22" s="301"/>
      <c r="ADN22" s="301"/>
      <c r="ADO22" s="301"/>
      <c r="ADP22" s="301"/>
      <c r="ADQ22" s="301"/>
      <c r="ADR22" s="301"/>
      <c r="ADS22" s="301"/>
      <c r="ADT22" s="301"/>
      <c r="ADU22" s="301"/>
      <c r="ADV22" s="301"/>
      <c r="ADW22" s="301"/>
      <c r="ADX22" s="301"/>
      <c r="ADY22" s="301"/>
      <c r="ADZ22" s="301"/>
      <c r="AEA22" s="301"/>
      <c r="AEB22" s="301"/>
      <c r="AEC22" s="301"/>
      <c r="AED22" s="301"/>
      <c r="AEE22" s="301"/>
      <c r="AEF22" s="301"/>
      <c r="AEG22" s="301"/>
      <c r="AEH22" s="301"/>
      <c r="AEI22" s="301"/>
      <c r="AEJ22" s="301"/>
      <c r="AEK22" s="301"/>
      <c r="AEL22" s="301"/>
      <c r="AEM22" s="301"/>
      <c r="AEN22" s="301"/>
      <c r="AEO22" s="301"/>
      <c r="AEP22" s="301"/>
      <c r="AEQ22" s="301"/>
      <c r="AER22" s="301"/>
      <c r="AES22" s="301"/>
      <c r="AET22" s="301"/>
      <c r="AEU22" s="301"/>
      <c r="AEV22" s="301"/>
      <c r="AEW22" s="301"/>
      <c r="AEX22" s="301"/>
      <c r="AEY22" s="301"/>
      <c r="AEZ22" s="301"/>
      <c r="AFA22" s="301"/>
      <c r="AFB22" s="301"/>
      <c r="AFC22" s="301"/>
      <c r="AFD22" s="301"/>
      <c r="AFE22" s="301"/>
      <c r="AFF22" s="301"/>
      <c r="AFG22" s="301"/>
      <c r="AFH22" s="301"/>
      <c r="AFI22" s="301"/>
      <c r="AFJ22" s="301"/>
      <c r="AFK22" s="301"/>
      <c r="AFL22" s="301"/>
      <c r="AFM22" s="301"/>
      <c r="AFN22" s="301"/>
      <c r="AFO22" s="301"/>
      <c r="AFP22" s="301"/>
      <c r="AFQ22" s="301"/>
      <c r="AFR22" s="301"/>
      <c r="AFS22" s="301"/>
      <c r="AFT22" s="301"/>
      <c r="AFU22" s="301"/>
      <c r="AFV22" s="301"/>
      <c r="AFW22" s="301"/>
      <c r="AFX22" s="301"/>
      <c r="AFY22" s="301"/>
      <c r="AFZ22" s="301"/>
      <c r="AGA22" s="301"/>
      <c r="AGB22" s="301"/>
      <c r="AGC22" s="301"/>
      <c r="AGD22" s="301"/>
      <c r="AGE22" s="301"/>
      <c r="AGF22" s="301"/>
      <c r="AGG22" s="301"/>
      <c r="AGH22" s="301"/>
      <c r="AGI22" s="301"/>
      <c r="AGJ22" s="301"/>
      <c r="AGK22" s="301"/>
      <c r="AGL22" s="301"/>
      <c r="AGM22" s="301"/>
      <c r="AGN22" s="301"/>
      <c r="AGO22" s="301"/>
      <c r="AGP22" s="301"/>
      <c r="AGQ22" s="301"/>
      <c r="AGR22" s="301"/>
      <c r="AGS22" s="301"/>
      <c r="AGT22" s="301"/>
      <c r="AGU22" s="301"/>
      <c r="AGV22" s="301"/>
      <c r="AGW22" s="301"/>
      <c r="AGX22" s="301"/>
      <c r="AGY22" s="301"/>
      <c r="AGZ22" s="301"/>
      <c r="AHA22" s="301"/>
      <c r="AHB22" s="301"/>
      <c r="AHC22" s="301"/>
      <c r="AHD22" s="301"/>
      <c r="AHE22" s="301"/>
      <c r="AHF22" s="301"/>
      <c r="AHG22" s="301"/>
      <c r="AHH22" s="301"/>
      <c r="AHI22" s="301"/>
      <c r="AHJ22" s="301"/>
      <c r="AHK22" s="301"/>
      <c r="AHL22" s="301"/>
      <c r="AHM22" s="301"/>
      <c r="AHN22" s="301"/>
      <c r="AHO22" s="301"/>
      <c r="AHP22" s="301"/>
      <c r="AHQ22" s="301"/>
      <c r="AHR22" s="301"/>
      <c r="AHS22" s="301"/>
      <c r="AHT22" s="301"/>
      <c r="AHU22" s="301"/>
      <c r="AHV22" s="301"/>
      <c r="AHW22" s="301"/>
      <c r="AHX22" s="301"/>
      <c r="AHY22" s="301"/>
      <c r="AHZ22" s="301"/>
      <c r="AIA22" s="301"/>
      <c r="AIB22" s="301"/>
      <c r="AIC22" s="301"/>
      <c r="AID22" s="301"/>
      <c r="AIE22" s="301"/>
      <c r="AIF22" s="301"/>
      <c r="AIG22" s="301"/>
      <c r="AIH22" s="301"/>
      <c r="AII22" s="301"/>
      <c r="AIJ22" s="301"/>
      <c r="AIK22" s="301"/>
      <c r="AIL22" s="301"/>
      <c r="AIM22" s="301"/>
      <c r="AIN22" s="301"/>
      <c r="AIO22" s="301"/>
      <c r="AIP22" s="301"/>
      <c r="AIQ22" s="301"/>
      <c r="AIR22" s="301"/>
      <c r="AIS22" s="301"/>
      <c r="AIT22" s="301"/>
      <c r="AIU22" s="301"/>
      <c r="AIV22" s="301"/>
      <c r="AIW22" s="301"/>
      <c r="AIX22" s="301"/>
      <c r="AIY22" s="301"/>
      <c r="AIZ22" s="301"/>
      <c r="AJA22" s="301"/>
      <c r="AJB22" s="301"/>
      <c r="AJC22" s="301"/>
      <c r="AJD22" s="301"/>
      <c r="AJE22" s="301"/>
      <c r="AJF22" s="301"/>
      <c r="AJG22" s="301"/>
      <c r="AJH22" s="301"/>
      <c r="AJI22" s="301"/>
      <c r="AJJ22" s="301"/>
      <c r="AJK22" s="301"/>
      <c r="AJL22" s="301"/>
      <c r="AJM22" s="301"/>
      <c r="AJN22" s="301"/>
      <c r="AJO22" s="301"/>
      <c r="AJP22" s="301"/>
      <c r="AJQ22" s="301"/>
      <c r="AJR22" s="301"/>
      <c r="AJS22" s="301"/>
      <c r="AJT22" s="301"/>
      <c r="AJU22" s="301"/>
      <c r="AJV22" s="301"/>
      <c r="AJW22" s="301"/>
      <c r="AJX22" s="301"/>
      <c r="AJY22" s="301"/>
      <c r="AJZ22" s="301"/>
      <c r="AKA22" s="301"/>
      <c r="AKB22" s="301"/>
      <c r="AKC22" s="301"/>
      <c r="AKD22" s="301"/>
      <c r="AKE22" s="301"/>
      <c r="AKF22" s="301"/>
      <c r="AKG22" s="301"/>
      <c r="AKH22" s="301"/>
      <c r="AKI22" s="301"/>
      <c r="AKJ22" s="301"/>
      <c r="AKK22" s="301"/>
      <c r="AKL22" s="301"/>
      <c r="AKM22" s="301"/>
      <c r="AKN22" s="301"/>
      <c r="AKO22" s="301"/>
      <c r="AKP22" s="301"/>
      <c r="AKQ22" s="301"/>
      <c r="AKR22" s="301"/>
      <c r="AKS22" s="301"/>
      <c r="AKT22" s="301"/>
      <c r="AKU22" s="301"/>
      <c r="AKV22" s="301"/>
      <c r="AKW22" s="301"/>
      <c r="AKX22" s="301"/>
      <c r="AKY22" s="301"/>
      <c r="AKZ22" s="301"/>
      <c r="ALA22" s="301"/>
      <c r="ALB22" s="301"/>
      <c r="ALC22" s="301"/>
      <c r="ALD22" s="301"/>
      <c r="ALE22" s="301"/>
      <c r="ALF22" s="301"/>
      <c r="ALG22" s="301"/>
      <c r="ALH22" s="301"/>
      <c r="ALI22" s="301"/>
      <c r="ALJ22" s="301"/>
      <c r="ALK22" s="301"/>
      <c r="ALL22" s="301"/>
      <c r="ALM22" s="301"/>
      <c r="ALN22" s="301"/>
      <c r="ALO22" s="301"/>
      <c r="ALP22" s="301"/>
      <c r="ALQ22" s="301"/>
      <c r="ALR22" s="301"/>
      <c r="ALS22" s="301"/>
      <c r="ALT22" s="301"/>
      <c r="ALU22" s="301"/>
      <c r="ALV22" s="301"/>
      <c r="ALW22" s="301"/>
      <c r="ALX22" s="301"/>
      <c r="ALY22" s="301"/>
      <c r="ALZ22" s="301"/>
      <c r="AMA22" s="301"/>
      <c r="AMB22" s="301"/>
      <c r="AMC22" s="301"/>
      <c r="AMD22" s="301"/>
      <c r="AME22" s="301"/>
      <c r="AMF22" s="301"/>
      <c r="AMG22" s="301"/>
      <c r="AMH22" s="301"/>
      <c r="AMI22" s="301"/>
      <c r="AMJ22" s="301"/>
    </row>
    <row r="23" customFormat="false" ht="12.8" hidden="false" customHeight="false" outlineLevel="0" collapsed="false">
      <c r="A23" s="299" t="s">
        <v>206</v>
      </c>
      <c r="B23" s="310"/>
      <c r="C23" s="311" t="str">
        <f aca="false">IF(B23&gt;0,1,"")</f>
        <v/>
      </c>
      <c r="D23" s="310"/>
      <c r="E23" s="311" t="str">
        <f aca="false">IF(D23&gt;0,1,"")</f>
        <v/>
      </c>
      <c r="F23" s="310" t="n">
        <v>0</v>
      </c>
      <c r="G23" s="311" t="str">
        <f aca="false">IF(F23&gt;0,1,"")</f>
        <v/>
      </c>
      <c r="H23" s="310"/>
      <c r="I23" s="311" t="str">
        <f aca="false">IF(H23&gt;0,1,"")</f>
        <v/>
      </c>
      <c r="J23" s="326" t="str">
        <f aca="false">IF(SUM(C23,E23,G23,I23)&gt;1,"ERROR",IF(B23&gt;=1,B23*52,IF(D23&gt;=1,D23*26,IF(F23&gt;=1,F23*12,IF(H23&gt;=1,H23*4,"")))))</f>
        <v/>
      </c>
      <c r="K23" s="301"/>
      <c r="L23" s="301"/>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Q23" s="301"/>
      <c r="BR23" s="301"/>
      <c r="BS23" s="301"/>
      <c r="BT23" s="301"/>
      <c r="BU23" s="301"/>
      <c r="BV23" s="301"/>
      <c r="BW23" s="301"/>
      <c r="BX23" s="301"/>
      <c r="BY23" s="301"/>
      <c r="BZ23" s="301"/>
      <c r="CA23" s="301"/>
      <c r="CB23" s="301"/>
      <c r="CC23" s="301"/>
      <c r="CD23" s="301"/>
      <c r="CE23" s="301"/>
      <c r="CF23" s="301"/>
      <c r="CG23" s="301"/>
      <c r="CH23" s="301"/>
      <c r="CI23" s="301"/>
      <c r="CJ23" s="301"/>
      <c r="CK23" s="301"/>
      <c r="CL23" s="301"/>
      <c r="CM23" s="301"/>
      <c r="CN23" s="301"/>
      <c r="CO23" s="301"/>
      <c r="CP23" s="301"/>
      <c r="CQ23" s="301"/>
      <c r="CR23" s="301"/>
      <c r="CS23" s="301"/>
      <c r="CT23" s="301"/>
      <c r="CU23" s="301"/>
      <c r="CV23" s="301"/>
      <c r="CW23" s="301"/>
      <c r="CX23" s="301"/>
      <c r="CY23" s="301"/>
      <c r="CZ23" s="301"/>
      <c r="DA23" s="301"/>
      <c r="DB23" s="301"/>
      <c r="DC23" s="301"/>
      <c r="DD23" s="301"/>
      <c r="DE23" s="301"/>
      <c r="DF23" s="301"/>
      <c r="DG23" s="301"/>
      <c r="DH23" s="301"/>
      <c r="DI23" s="301"/>
      <c r="DJ23" s="301"/>
      <c r="DK23" s="301"/>
      <c r="DL23" s="301"/>
      <c r="DM23" s="301"/>
      <c r="DN23" s="301"/>
      <c r="DO23" s="301"/>
      <c r="DP23" s="301"/>
      <c r="DQ23" s="301"/>
      <c r="DR23" s="301"/>
      <c r="DS23" s="301"/>
      <c r="DT23" s="301"/>
      <c r="DU23" s="301"/>
      <c r="DV23" s="301"/>
      <c r="DW23" s="301"/>
      <c r="DX23" s="301"/>
      <c r="DY23" s="301"/>
      <c r="DZ23" s="301"/>
      <c r="EA23" s="301"/>
      <c r="EB23" s="301"/>
      <c r="EC23" s="301"/>
      <c r="ED23" s="301"/>
      <c r="EE23" s="301"/>
      <c r="EF23" s="301"/>
      <c r="EG23" s="301"/>
      <c r="EH23" s="301"/>
      <c r="EI23" s="301"/>
      <c r="EJ23" s="301"/>
      <c r="EK23" s="301"/>
      <c r="EL23" s="301"/>
      <c r="EM23" s="301"/>
      <c r="EN23" s="301"/>
      <c r="EO23" s="301"/>
      <c r="EP23" s="301"/>
      <c r="EQ23" s="301"/>
      <c r="ER23" s="301"/>
      <c r="ES23" s="301"/>
      <c r="ET23" s="301"/>
      <c r="EU23" s="301"/>
      <c r="EV23" s="301"/>
      <c r="EW23" s="301"/>
      <c r="EX23" s="301"/>
      <c r="EY23" s="301"/>
      <c r="EZ23" s="301"/>
      <c r="FA23" s="301"/>
      <c r="FB23" s="301"/>
      <c r="FC23" s="301"/>
      <c r="FD23" s="301"/>
      <c r="FE23" s="301"/>
      <c r="FF23" s="301"/>
      <c r="FG23" s="301"/>
      <c r="FH23" s="301"/>
      <c r="FI23" s="301"/>
      <c r="FJ23" s="301"/>
      <c r="FK23" s="301"/>
      <c r="FL23" s="301"/>
      <c r="FM23" s="301"/>
      <c r="FN23" s="301"/>
      <c r="FO23" s="301"/>
      <c r="FP23" s="301"/>
      <c r="FQ23" s="301"/>
      <c r="FR23" s="301"/>
      <c r="FS23" s="301"/>
      <c r="FT23" s="301"/>
      <c r="FU23" s="301"/>
      <c r="FV23" s="301"/>
      <c r="FW23" s="301"/>
      <c r="FX23" s="301"/>
      <c r="FY23" s="301"/>
      <c r="FZ23" s="301"/>
      <c r="GA23" s="301"/>
      <c r="GB23" s="301"/>
      <c r="GC23" s="301"/>
      <c r="GD23" s="301"/>
      <c r="GE23" s="301"/>
      <c r="GF23" s="301"/>
      <c r="GG23" s="301"/>
      <c r="GH23" s="301"/>
      <c r="GI23" s="301"/>
      <c r="GJ23" s="301"/>
      <c r="GK23" s="301"/>
      <c r="GL23" s="301"/>
      <c r="GM23" s="301"/>
      <c r="GN23" s="301"/>
      <c r="GO23" s="301"/>
      <c r="GP23" s="301"/>
      <c r="GQ23" s="301"/>
      <c r="GR23" s="301"/>
      <c r="GS23" s="301"/>
      <c r="GT23" s="301"/>
      <c r="GU23" s="301"/>
      <c r="GV23" s="301"/>
      <c r="GW23" s="301"/>
      <c r="GX23" s="301"/>
      <c r="GY23" s="301"/>
      <c r="GZ23" s="301"/>
      <c r="HA23" s="301"/>
      <c r="HB23" s="301"/>
      <c r="HC23" s="301"/>
      <c r="HD23" s="301"/>
      <c r="HE23" s="301"/>
      <c r="HF23" s="301"/>
      <c r="HG23" s="301"/>
      <c r="HH23" s="301"/>
      <c r="HI23" s="301"/>
      <c r="HJ23" s="301"/>
      <c r="HK23" s="301"/>
      <c r="HL23" s="301"/>
      <c r="HM23" s="301"/>
      <c r="HN23" s="301"/>
      <c r="HO23" s="301"/>
      <c r="HP23" s="301"/>
      <c r="HQ23" s="301"/>
      <c r="HR23" s="301"/>
      <c r="HS23" s="301"/>
      <c r="HT23" s="301"/>
      <c r="HU23" s="301"/>
      <c r="HV23" s="301"/>
      <c r="HW23" s="301"/>
      <c r="HX23" s="301"/>
      <c r="HY23" s="301"/>
      <c r="HZ23" s="301"/>
      <c r="IA23" s="301"/>
      <c r="IB23" s="301"/>
      <c r="IC23" s="301"/>
      <c r="ID23" s="301"/>
      <c r="IE23" s="301"/>
      <c r="IF23" s="301"/>
      <c r="IG23" s="301"/>
      <c r="IH23" s="301"/>
      <c r="II23" s="301"/>
      <c r="IJ23" s="301"/>
      <c r="IK23" s="301"/>
      <c r="IL23" s="301"/>
      <c r="IM23" s="301"/>
      <c r="IN23" s="301"/>
      <c r="IO23" s="301"/>
      <c r="IP23" s="301"/>
      <c r="IQ23" s="301"/>
      <c r="IR23" s="301"/>
      <c r="IS23" s="301"/>
      <c r="IT23" s="301"/>
      <c r="IU23" s="301"/>
      <c r="IV23" s="301"/>
      <c r="IW23" s="301"/>
      <c r="IX23" s="301"/>
      <c r="IY23" s="301"/>
      <c r="IZ23" s="301"/>
      <c r="JA23" s="301"/>
      <c r="JB23" s="301"/>
      <c r="JC23" s="301"/>
      <c r="JD23" s="301"/>
      <c r="JE23" s="301"/>
      <c r="JF23" s="301"/>
      <c r="JG23" s="301"/>
      <c r="JH23" s="301"/>
      <c r="JI23" s="301"/>
      <c r="JJ23" s="301"/>
      <c r="JK23" s="301"/>
      <c r="JL23" s="301"/>
      <c r="JM23" s="301"/>
      <c r="JN23" s="301"/>
      <c r="JO23" s="301"/>
      <c r="JP23" s="301"/>
      <c r="JQ23" s="301"/>
      <c r="JR23" s="301"/>
      <c r="JS23" s="301"/>
      <c r="JT23" s="301"/>
      <c r="JU23" s="301"/>
      <c r="JV23" s="301"/>
      <c r="JW23" s="301"/>
      <c r="JX23" s="301"/>
      <c r="JY23" s="301"/>
      <c r="JZ23" s="301"/>
      <c r="KA23" s="301"/>
      <c r="KB23" s="301"/>
      <c r="KC23" s="301"/>
      <c r="KD23" s="301"/>
      <c r="KE23" s="301"/>
      <c r="KF23" s="301"/>
      <c r="KG23" s="301"/>
      <c r="KH23" s="301"/>
      <c r="KI23" s="301"/>
      <c r="KJ23" s="301"/>
      <c r="KK23" s="301"/>
      <c r="KL23" s="301"/>
      <c r="KM23" s="301"/>
      <c r="KN23" s="301"/>
      <c r="KO23" s="301"/>
      <c r="KP23" s="301"/>
      <c r="KQ23" s="301"/>
      <c r="KR23" s="301"/>
      <c r="KS23" s="301"/>
      <c r="KT23" s="301"/>
      <c r="KU23" s="301"/>
      <c r="KV23" s="301"/>
      <c r="KW23" s="301"/>
      <c r="KX23" s="301"/>
      <c r="KY23" s="301"/>
      <c r="KZ23" s="301"/>
      <c r="LA23" s="301"/>
      <c r="LB23" s="301"/>
      <c r="LC23" s="301"/>
      <c r="LD23" s="301"/>
      <c r="LE23" s="301"/>
      <c r="LF23" s="301"/>
      <c r="LG23" s="301"/>
      <c r="LH23" s="301"/>
      <c r="LI23" s="301"/>
      <c r="LJ23" s="301"/>
      <c r="LK23" s="301"/>
      <c r="LL23" s="301"/>
      <c r="LM23" s="301"/>
      <c r="LN23" s="301"/>
      <c r="LO23" s="301"/>
      <c r="LP23" s="301"/>
      <c r="LQ23" s="301"/>
      <c r="LR23" s="301"/>
      <c r="LS23" s="301"/>
      <c r="LT23" s="301"/>
      <c r="LU23" s="301"/>
      <c r="LV23" s="301"/>
      <c r="LW23" s="301"/>
      <c r="LX23" s="301"/>
      <c r="LY23" s="301"/>
      <c r="LZ23" s="301"/>
      <c r="MA23" s="301"/>
      <c r="MB23" s="301"/>
      <c r="MC23" s="301"/>
      <c r="MD23" s="301"/>
      <c r="ME23" s="301"/>
      <c r="MF23" s="301"/>
      <c r="MG23" s="301"/>
      <c r="MH23" s="301"/>
      <c r="MI23" s="301"/>
      <c r="MJ23" s="301"/>
      <c r="MK23" s="301"/>
      <c r="ML23" s="301"/>
      <c r="MM23" s="301"/>
      <c r="MN23" s="301"/>
      <c r="MO23" s="301"/>
      <c r="MP23" s="301"/>
      <c r="MQ23" s="301"/>
      <c r="MR23" s="301"/>
      <c r="MS23" s="301"/>
      <c r="MT23" s="301"/>
      <c r="MU23" s="301"/>
      <c r="MV23" s="301"/>
      <c r="MW23" s="301"/>
      <c r="MX23" s="301"/>
      <c r="MY23" s="301"/>
      <c r="MZ23" s="301"/>
      <c r="NA23" s="301"/>
      <c r="NB23" s="301"/>
      <c r="NC23" s="301"/>
      <c r="ND23" s="301"/>
      <c r="NE23" s="301"/>
      <c r="NF23" s="301"/>
      <c r="NG23" s="301"/>
      <c r="NH23" s="301"/>
      <c r="NI23" s="301"/>
      <c r="NJ23" s="301"/>
      <c r="NK23" s="301"/>
      <c r="NL23" s="301"/>
      <c r="NM23" s="301"/>
      <c r="NN23" s="301"/>
      <c r="NO23" s="301"/>
      <c r="NP23" s="301"/>
      <c r="NQ23" s="301"/>
      <c r="NR23" s="301"/>
      <c r="NS23" s="301"/>
      <c r="NT23" s="301"/>
      <c r="NU23" s="301"/>
      <c r="NV23" s="301"/>
      <c r="NW23" s="301"/>
      <c r="NX23" s="301"/>
      <c r="NY23" s="301"/>
      <c r="NZ23" s="301"/>
      <c r="OA23" s="301"/>
      <c r="OB23" s="301"/>
      <c r="OC23" s="301"/>
      <c r="OD23" s="301"/>
      <c r="OE23" s="301"/>
      <c r="OF23" s="301"/>
      <c r="OG23" s="301"/>
      <c r="OH23" s="301"/>
      <c r="OI23" s="301"/>
      <c r="OJ23" s="301"/>
      <c r="OK23" s="301"/>
      <c r="OL23" s="301"/>
      <c r="OM23" s="301"/>
      <c r="ON23" s="301"/>
      <c r="OO23" s="301"/>
      <c r="OP23" s="301"/>
      <c r="OQ23" s="301"/>
      <c r="OR23" s="301"/>
      <c r="OS23" s="301"/>
      <c r="OT23" s="301"/>
      <c r="OU23" s="301"/>
      <c r="OV23" s="301"/>
      <c r="OW23" s="301"/>
      <c r="OX23" s="301"/>
      <c r="OY23" s="301"/>
      <c r="OZ23" s="301"/>
      <c r="PA23" s="301"/>
      <c r="PB23" s="301"/>
      <c r="PC23" s="301"/>
      <c r="PD23" s="301"/>
      <c r="PE23" s="301"/>
      <c r="PF23" s="301"/>
      <c r="PG23" s="301"/>
      <c r="PH23" s="301"/>
      <c r="PI23" s="301"/>
      <c r="PJ23" s="301"/>
      <c r="PK23" s="301"/>
      <c r="PL23" s="301"/>
      <c r="PM23" s="301"/>
      <c r="PN23" s="301"/>
      <c r="PO23" s="301"/>
      <c r="PP23" s="301"/>
      <c r="PQ23" s="301"/>
      <c r="PR23" s="301"/>
      <c r="PS23" s="301"/>
      <c r="PT23" s="301"/>
      <c r="PU23" s="301"/>
      <c r="PV23" s="301"/>
      <c r="PW23" s="301"/>
      <c r="PX23" s="301"/>
      <c r="PY23" s="301"/>
      <c r="PZ23" s="301"/>
      <c r="QA23" s="301"/>
      <c r="QB23" s="301"/>
      <c r="QC23" s="301"/>
      <c r="QD23" s="301"/>
      <c r="QE23" s="301"/>
      <c r="QF23" s="301"/>
      <c r="QG23" s="301"/>
      <c r="QH23" s="301"/>
      <c r="QI23" s="301"/>
      <c r="QJ23" s="301"/>
      <c r="QK23" s="301"/>
      <c r="QL23" s="301"/>
      <c r="QM23" s="301"/>
      <c r="QN23" s="301"/>
      <c r="QO23" s="301"/>
      <c r="QP23" s="301"/>
      <c r="QQ23" s="301"/>
      <c r="QR23" s="301"/>
      <c r="QS23" s="301"/>
      <c r="QT23" s="301"/>
      <c r="QU23" s="301"/>
      <c r="QV23" s="301"/>
      <c r="QW23" s="301"/>
      <c r="QX23" s="301"/>
      <c r="QY23" s="301"/>
      <c r="QZ23" s="301"/>
      <c r="RA23" s="301"/>
      <c r="RB23" s="301"/>
      <c r="RC23" s="301"/>
      <c r="RD23" s="301"/>
      <c r="RE23" s="301"/>
      <c r="RF23" s="301"/>
      <c r="RG23" s="301"/>
      <c r="RH23" s="301"/>
      <c r="RI23" s="301"/>
      <c r="RJ23" s="301"/>
      <c r="RK23" s="301"/>
      <c r="RL23" s="301"/>
      <c r="RM23" s="301"/>
      <c r="RN23" s="301"/>
      <c r="RO23" s="301"/>
      <c r="RP23" s="301"/>
      <c r="RQ23" s="301"/>
      <c r="RR23" s="301"/>
      <c r="RS23" s="301"/>
      <c r="RT23" s="301"/>
      <c r="RU23" s="301"/>
      <c r="RV23" s="301"/>
      <c r="RW23" s="301"/>
      <c r="RX23" s="301"/>
      <c r="RY23" s="301"/>
      <c r="RZ23" s="301"/>
      <c r="SA23" s="301"/>
      <c r="SB23" s="301"/>
      <c r="SC23" s="301"/>
      <c r="SD23" s="301"/>
      <c r="SE23" s="301"/>
      <c r="SF23" s="301"/>
      <c r="SG23" s="301"/>
      <c r="SH23" s="301"/>
      <c r="SI23" s="301"/>
      <c r="SJ23" s="301"/>
      <c r="SK23" s="301"/>
      <c r="SL23" s="301"/>
      <c r="SM23" s="301"/>
      <c r="SN23" s="301"/>
      <c r="SO23" s="301"/>
      <c r="SP23" s="301"/>
      <c r="SQ23" s="301"/>
      <c r="SR23" s="301"/>
      <c r="SS23" s="301"/>
      <c r="ST23" s="301"/>
      <c r="SU23" s="301"/>
      <c r="SV23" s="301"/>
      <c r="SW23" s="301"/>
      <c r="SX23" s="301"/>
      <c r="SY23" s="301"/>
      <c r="SZ23" s="301"/>
      <c r="TA23" s="301"/>
      <c r="TB23" s="301"/>
      <c r="TC23" s="301"/>
      <c r="TD23" s="301"/>
      <c r="TE23" s="301"/>
      <c r="TF23" s="301"/>
      <c r="TG23" s="301"/>
      <c r="TH23" s="301"/>
      <c r="TI23" s="301"/>
      <c r="TJ23" s="301"/>
      <c r="TK23" s="301"/>
      <c r="TL23" s="301"/>
      <c r="TM23" s="301"/>
      <c r="TN23" s="301"/>
      <c r="TO23" s="301"/>
      <c r="TP23" s="301"/>
      <c r="TQ23" s="301"/>
      <c r="TR23" s="301"/>
      <c r="TS23" s="301"/>
      <c r="TT23" s="301"/>
      <c r="TU23" s="301"/>
      <c r="TV23" s="301"/>
      <c r="TW23" s="301"/>
      <c r="TX23" s="301"/>
      <c r="TY23" s="301"/>
      <c r="TZ23" s="301"/>
      <c r="UA23" s="301"/>
      <c r="UB23" s="301"/>
      <c r="UC23" s="301"/>
      <c r="UD23" s="301"/>
      <c r="UE23" s="301"/>
      <c r="UF23" s="301"/>
      <c r="UG23" s="301"/>
      <c r="UH23" s="301"/>
      <c r="UI23" s="301"/>
      <c r="UJ23" s="301"/>
      <c r="UK23" s="301"/>
      <c r="UL23" s="301"/>
      <c r="UM23" s="301"/>
      <c r="UN23" s="301"/>
      <c r="UO23" s="301"/>
      <c r="UP23" s="301"/>
      <c r="UQ23" s="301"/>
      <c r="UR23" s="301"/>
      <c r="US23" s="301"/>
      <c r="UT23" s="301"/>
      <c r="UU23" s="301"/>
      <c r="UV23" s="301"/>
      <c r="UW23" s="301"/>
      <c r="UX23" s="301"/>
      <c r="UY23" s="301"/>
      <c r="UZ23" s="301"/>
      <c r="VA23" s="301"/>
      <c r="VB23" s="301"/>
      <c r="VC23" s="301"/>
      <c r="VD23" s="301"/>
      <c r="VE23" s="301"/>
      <c r="VF23" s="301"/>
      <c r="VG23" s="301"/>
      <c r="VH23" s="301"/>
      <c r="VI23" s="301"/>
      <c r="VJ23" s="301"/>
      <c r="VK23" s="301"/>
      <c r="VL23" s="301"/>
      <c r="VM23" s="301"/>
      <c r="VN23" s="301"/>
      <c r="VO23" s="301"/>
      <c r="VP23" s="301"/>
      <c r="VQ23" s="301"/>
      <c r="VR23" s="301"/>
      <c r="VS23" s="301"/>
      <c r="VT23" s="301"/>
      <c r="VU23" s="301"/>
      <c r="VV23" s="301"/>
      <c r="VW23" s="301"/>
      <c r="VX23" s="301"/>
      <c r="VY23" s="301"/>
      <c r="VZ23" s="301"/>
      <c r="WA23" s="301"/>
      <c r="WB23" s="301"/>
      <c r="WC23" s="301"/>
      <c r="WD23" s="301"/>
      <c r="WE23" s="301"/>
      <c r="WF23" s="301"/>
      <c r="WG23" s="301"/>
      <c r="WH23" s="301"/>
      <c r="WI23" s="301"/>
      <c r="WJ23" s="301"/>
      <c r="WK23" s="301"/>
      <c r="WL23" s="301"/>
      <c r="WM23" s="301"/>
      <c r="WN23" s="301"/>
      <c r="WO23" s="301"/>
      <c r="WP23" s="301"/>
      <c r="WQ23" s="301"/>
      <c r="WR23" s="301"/>
      <c r="WS23" s="301"/>
      <c r="WT23" s="301"/>
      <c r="WU23" s="301"/>
      <c r="WV23" s="301"/>
      <c r="WW23" s="301"/>
      <c r="WX23" s="301"/>
      <c r="WY23" s="301"/>
      <c r="WZ23" s="301"/>
      <c r="XA23" s="301"/>
      <c r="XB23" s="301"/>
      <c r="XC23" s="301"/>
      <c r="XD23" s="301"/>
      <c r="XE23" s="301"/>
      <c r="XF23" s="301"/>
      <c r="XG23" s="301"/>
      <c r="XH23" s="301"/>
      <c r="XI23" s="301"/>
      <c r="XJ23" s="301"/>
      <c r="XK23" s="301"/>
      <c r="XL23" s="301"/>
      <c r="XM23" s="301"/>
      <c r="XN23" s="301"/>
      <c r="XO23" s="301"/>
      <c r="XP23" s="301"/>
      <c r="XQ23" s="301"/>
      <c r="XR23" s="301"/>
      <c r="XS23" s="301"/>
      <c r="XT23" s="301"/>
      <c r="XU23" s="301"/>
      <c r="XV23" s="301"/>
      <c r="XW23" s="301"/>
      <c r="XX23" s="301"/>
      <c r="XY23" s="301"/>
      <c r="XZ23" s="301"/>
      <c r="YA23" s="301"/>
      <c r="YB23" s="301"/>
      <c r="YC23" s="301"/>
      <c r="YD23" s="301"/>
      <c r="YE23" s="301"/>
      <c r="YF23" s="301"/>
      <c r="YG23" s="301"/>
      <c r="YH23" s="301"/>
      <c r="YI23" s="301"/>
      <c r="YJ23" s="301"/>
      <c r="YK23" s="301"/>
      <c r="YL23" s="301"/>
      <c r="YM23" s="301"/>
      <c r="YN23" s="301"/>
      <c r="YO23" s="301"/>
      <c r="YP23" s="301"/>
      <c r="YQ23" s="301"/>
      <c r="YR23" s="301"/>
      <c r="YS23" s="301"/>
      <c r="YT23" s="301"/>
      <c r="YU23" s="301"/>
      <c r="YV23" s="301"/>
      <c r="YW23" s="301"/>
      <c r="YX23" s="301"/>
      <c r="YY23" s="301"/>
      <c r="YZ23" s="301"/>
      <c r="ZA23" s="301"/>
      <c r="ZB23" s="301"/>
      <c r="ZC23" s="301"/>
      <c r="ZD23" s="301"/>
      <c r="ZE23" s="301"/>
      <c r="ZF23" s="301"/>
      <c r="ZG23" s="301"/>
      <c r="ZH23" s="301"/>
      <c r="ZI23" s="301"/>
      <c r="ZJ23" s="301"/>
      <c r="ZK23" s="301"/>
      <c r="ZL23" s="301"/>
      <c r="ZM23" s="301"/>
      <c r="ZN23" s="301"/>
      <c r="ZO23" s="301"/>
      <c r="ZP23" s="301"/>
      <c r="ZQ23" s="301"/>
      <c r="ZR23" s="301"/>
      <c r="ZS23" s="301"/>
      <c r="ZT23" s="301"/>
      <c r="ZU23" s="301"/>
      <c r="ZV23" s="301"/>
      <c r="ZW23" s="301"/>
      <c r="ZX23" s="301"/>
      <c r="ZY23" s="301"/>
      <c r="ZZ23" s="301"/>
      <c r="AAA23" s="301"/>
      <c r="AAB23" s="301"/>
      <c r="AAC23" s="301"/>
      <c r="AAD23" s="301"/>
      <c r="AAE23" s="301"/>
      <c r="AAF23" s="301"/>
      <c r="AAG23" s="301"/>
      <c r="AAH23" s="301"/>
      <c r="AAI23" s="301"/>
      <c r="AAJ23" s="301"/>
      <c r="AAK23" s="301"/>
      <c r="AAL23" s="301"/>
      <c r="AAM23" s="301"/>
      <c r="AAN23" s="301"/>
      <c r="AAO23" s="301"/>
      <c r="AAP23" s="301"/>
      <c r="AAQ23" s="301"/>
      <c r="AAR23" s="301"/>
      <c r="AAS23" s="301"/>
      <c r="AAT23" s="301"/>
      <c r="AAU23" s="301"/>
      <c r="AAV23" s="301"/>
      <c r="AAW23" s="301"/>
      <c r="AAX23" s="301"/>
      <c r="AAY23" s="301"/>
      <c r="AAZ23" s="301"/>
      <c r="ABA23" s="301"/>
      <c r="ABB23" s="301"/>
      <c r="ABC23" s="301"/>
      <c r="ABD23" s="301"/>
      <c r="ABE23" s="301"/>
      <c r="ABF23" s="301"/>
      <c r="ABG23" s="301"/>
      <c r="ABH23" s="301"/>
      <c r="ABI23" s="301"/>
      <c r="ABJ23" s="301"/>
      <c r="ABK23" s="301"/>
      <c r="ABL23" s="301"/>
      <c r="ABM23" s="301"/>
      <c r="ABN23" s="301"/>
      <c r="ABO23" s="301"/>
      <c r="ABP23" s="301"/>
      <c r="ABQ23" s="301"/>
      <c r="ABR23" s="301"/>
      <c r="ABS23" s="301"/>
      <c r="ABT23" s="301"/>
      <c r="ABU23" s="301"/>
      <c r="ABV23" s="301"/>
      <c r="ABW23" s="301"/>
      <c r="ABX23" s="301"/>
      <c r="ABY23" s="301"/>
      <c r="ABZ23" s="301"/>
      <c r="ACA23" s="301"/>
      <c r="ACB23" s="301"/>
      <c r="ACC23" s="301"/>
      <c r="ACD23" s="301"/>
      <c r="ACE23" s="301"/>
      <c r="ACF23" s="301"/>
      <c r="ACG23" s="301"/>
      <c r="ACH23" s="301"/>
      <c r="ACI23" s="301"/>
      <c r="ACJ23" s="301"/>
      <c r="ACK23" s="301"/>
      <c r="ACL23" s="301"/>
      <c r="ACM23" s="301"/>
      <c r="ACN23" s="301"/>
      <c r="ACO23" s="301"/>
      <c r="ACP23" s="301"/>
      <c r="ACQ23" s="301"/>
      <c r="ACR23" s="301"/>
      <c r="ACS23" s="301"/>
      <c r="ACT23" s="301"/>
      <c r="ACU23" s="301"/>
      <c r="ACV23" s="301"/>
      <c r="ACW23" s="301"/>
      <c r="ACX23" s="301"/>
      <c r="ACY23" s="301"/>
      <c r="ACZ23" s="301"/>
      <c r="ADA23" s="301"/>
      <c r="ADB23" s="301"/>
      <c r="ADC23" s="301"/>
      <c r="ADD23" s="301"/>
      <c r="ADE23" s="301"/>
      <c r="ADF23" s="301"/>
      <c r="ADG23" s="301"/>
      <c r="ADH23" s="301"/>
      <c r="ADI23" s="301"/>
      <c r="ADJ23" s="301"/>
      <c r="ADK23" s="301"/>
      <c r="ADL23" s="301"/>
      <c r="ADM23" s="301"/>
      <c r="ADN23" s="301"/>
      <c r="ADO23" s="301"/>
      <c r="ADP23" s="301"/>
      <c r="ADQ23" s="301"/>
      <c r="ADR23" s="301"/>
      <c r="ADS23" s="301"/>
      <c r="ADT23" s="301"/>
      <c r="ADU23" s="301"/>
      <c r="ADV23" s="301"/>
      <c r="ADW23" s="301"/>
      <c r="ADX23" s="301"/>
      <c r="ADY23" s="301"/>
      <c r="ADZ23" s="301"/>
      <c r="AEA23" s="301"/>
      <c r="AEB23" s="301"/>
      <c r="AEC23" s="301"/>
      <c r="AED23" s="301"/>
      <c r="AEE23" s="301"/>
      <c r="AEF23" s="301"/>
      <c r="AEG23" s="301"/>
      <c r="AEH23" s="301"/>
      <c r="AEI23" s="301"/>
      <c r="AEJ23" s="301"/>
      <c r="AEK23" s="301"/>
      <c r="AEL23" s="301"/>
      <c r="AEM23" s="301"/>
      <c r="AEN23" s="301"/>
      <c r="AEO23" s="301"/>
      <c r="AEP23" s="301"/>
      <c r="AEQ23" s="301"/>
      <c r="AER23" s="301"/>
      <c r="AES23" s="301"/>
      <c r="AET23" s="301"/>
      <c r="AEU23" s="301"/>
      <c r="AEV23" s="301"/>
      <c r="AEW23" s="301"/>
      <c r="AEX23" s="301"/>
      <c r="AEY23" s="301"/>
      <c r="AEZ23" s="301"/>
      <c r="AFA23" s="301"/>
      <c r="AFB23" s="301"/>
      <c r="AFC23" s="301"/>
      <c r="AFD23" s="301"/>
      <c r="AFE23" s="301"/>
      <c r="AFF23" s="301"/>
      <c r="AFG23" s="301"/>
      <c r="AFH23" s="301"/>
      <c r="AFI23" s="301"/>
      <c r="AFJ23" s="301"/>
      <c r="AFK23" s="301"/>
      <c r="AFL23" s="301"/>
      <c r="AFM23" s="301"/>
      <c r="AFN23" s="301"/>
      <c r="AFO23" s="301"/>
      <c r="AFP23" s="301"/>
      <c r="AFQ23" s="301"/>
      <c r="AFR23" s="301"/>
      <c r="AFS23" s="301"/>
      <c r="AFT23" s="301"/>
      <c r="AFU23" s="301"/>
      <c r="AFV23" s="301"/>
      <c r="AFW23" s="301"/>
      <c r="AFX23" s="301"/>
      <c r="AFY23" s="301"/>
      <c r="AFZ23" s="301"/>
      <c r="AGA23" s="301"/>
      <c r="AGB23" s="301"/>
      <c r="AGC23" s="301"/>
      <c r="AGD23" s="301"/>
      <c r="AGE23" s="301"/>
      <c r="AGF23" s="301"/>
      <c r="AGG23" s="301"/>
      <c r="AGH23" s="301"/>
      <c r="AGI23" s="301"/>
      <c r="AGJ23" s="301"/>
      <c r="AGK23" s="301"/>
      <c r="AGL23" s="301"/>
      <c r="AGM23" s="301"/>
      <c r="AGN23" s="301"/>
      <c r="AGO23" s="301"/>
      <c r="AGP23" s="301"/>
      <c r="AGQ23" s="301"/>
      <c r="AGR23" s="301"/>
      <c r="AGS23" s="301"/>
      <c r="AGT23" s="301"/>
      <c r="AGU23" s="301"/>
      <c r="AGV23" s="301"/>
      <c r="AGW23" s="301"/>
      <c r="AGX23" s="301"/>
      <c r="AGY23" s="301"/>
      <c r="AGZ23" s="301"/>
      <c r="AHA23" s="301"/>
      <c r="AHB23" s="301"/>
      <c r="AHC23" s="301"/>
      <c r="AHD23" s="301"/>
      <c r="AHE23" s="301"/>
      <c r="AHF23" s="301"/>
      <c r="AHG23" s="301"/>
      <c r="AHH23" s="301"/>
      <c r="AHI23" s="301"/>
      <c r="AHJ23" s="301"/>
      <c r="AHK23" s="301"/>
      <c r="AHL23" s="301"/>
      <c r="AHM23" s="301"/>
      <c r="AHN23" s="301"/>
      <c r="AHO23" s="301"/>
      <c r="AHP23" s="301"/>
      <c r="AHQ23" s="301"/>
      <c r="AHR23" s="301"/>
      <c r="AHS23" s="301"/>
      <c r="AHT23" s="301"/>
      <c r="AHU23" s="301"/>
      <c r="AHV23" s="301"/>
      <c r="AHW23" s="301"/>
      <c r="AHX23" s="301"/>
      <c r="AHY23" s="301"/>
      <c r="AHZ23" s="301"/>
      <c r="AIA23" s="301"/>
      <c r="AIB23" s="301"/>
      <c r="AIC23" s="301"/>
      <c r="AID23" s="301"/>
      <c r="AIE23" s="301"/>
      <c r="AIF23" s="301"/>
      <c r="AIG23" s="301"/>
      <c r="AIH23" s="301"/>
      <c r="AII23" s="301"/>
      <c r="AIJ23" s="301"/>
      <c r="AIK23" s="301"/>
      <c r="AIL23" s="301"/>
      <c r="AIM23" s="301"/>
      <c r="AIN23" s="301"/>
      <c r="AIO23" s="301"/>
      <c r="AIP23" s="301"/>
      <c r="AIQ23" s="301"/>
      <c r="AIR23" s="301"/>
      <c r="AIS23" s="301"/>
      <c r="AIT23" s="301"/>
      <c r="AIU23" s="301"/>
      <c r="AIV23" s="301"/>
      <c r="AIW23" s="301"/>
      <c r="AIX23" s="301"/>
      <c r="AIY23" s="301"/>
      <c r="AIZ23" s="301"/>
      <c r="AJA23" s="301"/>
      <c r="AJB23" s="301"/>
      <c r="AJC23" s="301"/>
      <c r="AJD23" s="301"/>
      <c r="AJE23" s="301"/>
      <c r="AJF23" s="301"/>
      <c r="AJG23" s="301"/>
      <c r="AJH23" s="301"/>
      <c r="AJI23" s="301"/>
      <c r="AJJ23" s="301"/>
      <c r="AJK23" s="301"/>
      <c r="AJL23" s="301"/>
      <c r="AJM23" s="301"/>
      <c r="AJN23" s="301"/>
      <c r="AJO23" s="301"/>
      <c r="AJP23" s="301"/>
      <c r="AJQ23" s="301"/>
      <c r="AJR23" s="301"/>
      <c r="AJS23" s="301"/>
      <c r="AJT23" s="301"/>
      <c r="AJU23" s="301"/>
      <c r="AJV23" s="301"/>
      <c r="AJW23" s="301"/>
      <c r="AJX23" s="301"/>
      <c r="AJY23" s="301"/>
      <c r="AJZ23" s="301"/>
      <c r="AKA23" s="301"/>
      <c r="AKB23" s="301"/>
      <c r="AKC23" s="301"/>
      <c r="AKD23" s="301"/>
      <c r="AKE23" s="301"/>
      <c r="AKF23" s="301"/>
      <c r="AKG23" s="301"/>
      <c r="AKH23" s="301"/>
      <c r="AKI23" s="301"/>
      <c r="AKJ23" s="301"/>
      <c r="AKK23" s="301"/>
      <c r="AKL23" s="301"/>
      <c r="AKM23" s="301"/>
      <c r="AKN23" s="301"/>
      <c r="AKO23" s="301"/>
      <c r="AKP23" s="301"/>
      <c r="AKQ23" s="301"/>
      <c r="AKR23" s="301"/>
      <c r="AKS23" s="301"/>
      <c r="AKT23" s="301"/>
      <c r="AKU23" s="301"/>
      <c r="AKV23" s="301"/>
      <c r="AKW23" s="301"/>
      <c r="AKX23" s="301"/>
      <c r="AKY23" s="301"/>
      <c r="AKZ23" s="301"/>
      <c r="ALA23" s="301"/>
      <c r="ALB23" s="301"/>
      <c r="ALC23" s="301"/>
      <c r="ALD23" s="301"/>
      <c r="ALE23" s="301"/>
      <c r="ALF23" s="301"/>
      <c r="ALG23" s="301"/>
      <c r="ALH23" s="301"/>
      <c r="ALI23" s="301"/>
      <c r="ALJ23" s="301"/>
      <c r="ALK23" s="301"/>
      <c r="ALL23" s="301"/>
      <c r="ALM23" s="301"/>
      <c r="ALN23" s="301"/>
      <c r="ALO23" s="301"/>
      <c r="ALP23" s="301"/>
      <c r="ALQ23" s="301"/>
      <c r="ALR23" s="301"/>
      <c r="ALS23" s="301"/>
      <c r="ALT23" s="301"/>
      <c r="ALU23" s="301"/>
      <c r="ALV23" s="301"/>
      <c r="ALW23" s="301"/>
      <c r="ALX23" s="301"/>
      <c r="ALY23" s="301"/>
      <c r="ALZ23" s="301"/>
      <c r="AMA23" s="301"/>
      <c r="AMB23" s="301"/>
      <c r="AMC23" s="301"/>
      <c r="AMD23" s="301"/>
      <c r="AME23" s="301"/>
      <c r="AMF23" s="301"/>
      <c r="AMG23" s="301"/>
      <c r="AMH23" s="301"/>
      <c r="AMI23" s="301"/>
      <c r="AMJ23" s="301"/>
    </row>
    <row r="24" customFormat="false" ht="12.8" hidden="false" customHeight="false" outlineLevel="0" collapsed="false">
      <c r="A24" s="299" t="s">
        <v>207</v>
      </c>
      <c r="B24" s="310"/>
      <c r="C24" s="311" t="str">
        <f aca="false">IF(B24&gt;0,1,"")</f>
        <v/>
      </c>
      <c r="D24" s="310"/>
      <c r="E24" s="311" t="str">
        <f aca="false">IF(D24&gt;0,1,"")</f>
        <v/>
      </c>
      <c r="F24" s="310" t="n">
        <v>0</v>
      </c>
      <c r="G24" s="311" t="str">
        <f aca="false">IF(F24&gt;0,1,"")</f>
        <v/>
      </c>
      <c r="H24" s="310"/>
      <c r="I24" s="311" t="str">
        <f aca="false">IF(H24&gt;0,1,"")</f>
        <v/>
      </c>
      <c r="J24" s="326" t="str">
        <f aca="false">IF(SUM(C24,E24,G24,I24)&gt;1,"ERROR",IF(B24&gt;=1,B24*52,IF(D24&gt;=1,D24*26,IF(F24&gt;=1,F24*12,IF(H24&gt;=1,H24*4,"")))))</f>
        <v/>
      </c>
      <c r="K24" s="301"/>
      <c r="L24" s="301"/>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Q24" s="301"/>
      <c r="BR24" s="301"/>
      <c r="BS24" s="301"/>
      <c r="BT24" s="301"/>
      <c r="BU24" s="301"/>
      <c r="BV24" s="301"/>
      <c r="BW24" s="301"/>
      <c r="BX24" s="301"/>
      <c r="BY24" s="301"/>
      <c r="BZ24" s="301"/>
      <c r="CA24" s="301"/>
      <c r="CB24" s="301"/>
      <c r="CC24" s="301"/>
      <c r="CD24" s="301"/>
      <c r="CE24" s="301"/>
      <c r="CF24" s="301"/>
      <c r="CG24" s="301"/>
      <c r="CH24" s="301"/>
      <c r="CI24" s="301"/>
      <c r="CJ24" s="301"/>
      <c r="CK24" s="301"/>
      <c r="CL24" s="301"/>
      <c r="CM24" s="301"/>
      <c r="CN24" s="301"/>
      <c r="CO24" s="301"/>
      <c r="CP24" s="301"/>
      <c r="CQ24" s="301"/>
      <c r="CR24" s="301"/>
      <c r="CS24" s="301"/>
      <c r="CT24" s="301"/>
      <c r="CU24" s="301"/>
      <c r="CV24" s="301"/>
      <c r="CW24" s="301"/>
      <c r="CX24" s="301"/>
      <c r="CY24" s="301"/>
      <c r="CZ24" s="301"/>
      <c r="DA24" s="301"/>
      <c r="DB24" s="301"/>
      <c r="DC24" s="301"/>
      <c r="DD24" s="301"/>
      <c r="DE24" s="301"/>
      <c r="DF24" s="301"/>
      <c r="DG24" s="301"/>
      <c r="DH24" s="301"/>
      <c r="DI24" s="301"/>
      <c r="DJ24" s="301"/>
      <c r="DK24" s="301"/>
      <c r="DL24" s="301"/>
      <c r="DM24" s="301"/>
      <c r="DN24" s="301"/>
      <c r="DO24" s="301"/>
      <c r="DP24" s="301"/>
      <c r="DQ24" s="301"/>
      <c r="DR24" s="301"/>
      <c r="DS24" s="301"/>
      <c r="DT24" s="301"/>
      <c r="DU24" s="301"/>
      <c r="DV24" s="301"/>
      <c r="DW24" s="301"/>
      <c r="DX24" s="301"/>
      <c r="DY24" s="301"/>
      <c r="DZ24" s="301"/>
      <c r="EA24" s="301"/>
      <c r="EB24" s="301"/>
      <c r="EC24" s="301"/>
      <c r="ED24" s="301"/>
      <c r="EE24" s="301"/>
      <c r="EF24" s="301"/>
      <c r="EG24" s="301"/>
      <c r="EH24" s="301"/>
      <c r="EI24" s="301"/>
      <c r="EJ24" s="301"/>
      <c r="EK24" s="301"/>
      <c r="EL24" s="301"/>
      <c r="EM24" s="301"/>
      <c r="EN24" s="301"/>
      <c r="EO24" s="301"/>
      <c r="EP24" s="301"/>
      <c r="EQ24" s="301"/>
      <c r="ER24" s="301"/>
      <c r="ES24" s="301"/>
      <c r="ET24" s="301"/>
      <c r="EU24" s="301"/>
      <c r="EV24" s="301"/>
      <c r="EW24" s="301"/>
      <c r="EX24" s="301"/>
      <c r="EY24" s="301"/>
      <c r="EZ24" s="301"/>
      <c r="FA24" s="301"/>
      <c r="FB24" s="301"/>
      <c r="FC24" s="301"/>
      <c r="FD24" s="301"/>
      <c r="FE24" s="301"/>
      <c r="FF24" s="301"/>
      <c r="FG24" s="301"/>
      <c r="FH24" s="301"/>
      <c r="FI24" s="301"/>
      <c r="FJ24" s="301"/>
      <c r="FK24" s="301"/>
      <c r="FL24" s="301"/>
      <c r="FM24" s="301"/>
      <c r="FN24" s="301"/>
      <c r="FO24" s="301"/>
      <c r="FP24" s="301"/>
      <c r="FQ24" s="301"/>
      <c r="FR24" s="301"/>
      <c r="FS24" s="301"/>
      <c r="FT24" s="301"/>
      <c r="FU24" s="301"/>
      <c r="FV24" s="301"/>
      <c r="FW24" s="301"/>
      <c r="FX24" s="301"/>
      <c r="FY24" s="301"/>
      <c r="FZ24" s="301"/>
      <c r="GA24" s="301"/>
      <c r="GB24" s="301"/>
      <c r="GC24" s="301"/>
      <c r="GD24" s="301"/>
      <c r="GE24" s="301"/>
      <c r="GF24" s="301"/>
      <c r="GG24" s="301"/>
      <c r="GH24" s="301"/>
      <c r="GI24" s="301"/>
      <c r="GJ24" s="301"/>
      <c r="GK24" s="301"/>
      <c r="GL24" s="301"/>
      <c r="GM24" s="301"/>
      <c r="GN24" s="301"/>
      <c r="GO24" s="301"/>
      <c r="GP24" s="301"/>
      <c r="GQ24" s="301"/>
      <c r="GR24" s="301"/>
      <c r="GS24" s="301"/>
      <c r="GT24" s="301"/>
      <c r="GU24" s="301"/>
      <c r="GV24" s="301"/>
      <c r="GW24" s="301"/>
      <c r="GX24" s="301"/>
      <c r="GY24" s="301"/>
      <c r="GZ24" s="301"/>
      <c r="HA24" s="301"/>
      <c r="HB24" s="301"/>
      <c r="HC24" s="301"/>
      <c r="HD24" s="301"/>
      <c r="HE24" s="301"/>
      <c r="HF24" s="301"/>
      <c r="HG24" s="301"/>
      <c r="HH24" s="301"/>
      <c r="HI24" s="301"/>
      <c r="HJ24" s="301"/>
      <c r="HK24" s="301"/>
      <c r="HL24" s="301"/>
      <c r="HM24" s="301"/>
      <c r="HN24" s="301"/>
      <c r="HO24" s="301"/>
      <c r="HP24" s="301"/>
      <c r="HQ24" s="301"/>
      <c r="HR24" s="301"/>
      <c r="HS24" s="301"/>
      <c r="HT24" s="301"/>
      <c r="HU24" s="301"/>
      <c r="HV24" s="301"/>
      <c r="HW24" s="301"/>
      <c r="HX24" s="301"/>
      <c r="HY24" s="301"/>
      <c r="HZ24" s="301"/>
      <c r="IA24" s="301"/>
      <c r="IB24" s="301"/>
      <c r="IC24" s="301"/>
      <c r="ID24" s="301"/>
      <c r="IE24" s="301"/>
      <c r="IF24" s="301"/>
      <c r="IG24" s="301"/>
      <c r="IH24" s="301"/>
      <c r="II24" s="301"/>
      <c r="IJ24" s="301"/>
      <c r="IK24" s="301"/>
      <c r="IL24" s="301"/>
      <c r="IM24" s="301"/>
      <c r="IN24" s="301"/>
      <c r="IO24" s="301"/>
      <c r="IP24" s="301"/>
      <c r="IQ24" s="301"/>
      <c r="IR24" s="301"/>
      <c r="IS24" s="301"/>
      <c r="IT24" s="301"/>
      <c r="IU24" s="301"/>
      <c r="IV24" s="301"/>
      <c r="IW24" s="301"/>
      <c r="IX24" s="301"/>
      <c r="IY24" s="301"/>
      <c r="IZ24" s="301"/>
      <c r="JA24" s="301"/>
      <c r="JB24" s="301"/>
      <c r="JC24" s="301"/>
      <c r="JD24" s="301"/>
      <c r="JE24" s="301"/>
      <c r="JF24" s="301"/>
      <c r="JG24" s="301"/>
      <c r="JH24" s="301"/>
      <c r="JI24" s="301"/>
      <c r="JJ24" s="301"/>
      <c r="JK24" s="301"/>
      <c r="JL24" s="301"/>
      <c r="JM24" s="301"/>
      <c r="JN24" s="301"/>
      <c r="JO24" s="301"/>
      <c r="JP24" s="301"/>
      <c r="JQ24" s="301"/>
      <c r="JR24" s="301"/>
      <c r="JS24" s="301"/>
      <c r="JT24" s="301"/>
      <c r="JU24" s="301"/>
      <c r="JV24" s="301"/>
      <c r="JW24" s="301"/>
      <c r="JX24" s="301"/>
      <c r="JY24" s="301"/>
      <c r="JZ24" s="301"/>
      <c r="KA24" s="301"/>
      <c r="KB24" s="301"/>
      <c r="KC24" s="301"/>
      <c r="KD24" s="301"/>
      <c r="KE24" s="301"/>
      <c r="KF24" s="301"/>
      <c r="KG24" s="301"/>
      <c r="KH24" s="301"/>
      <c r="KI24" s="301"/>
      <c r="KJ24" s="301"/>
      <c r="KK24" s="301"/>
      <c r="KL24" s="301"/>
      <c r="KM24" s="301"/>
      <c r="KN24" s="301"/>
      <c r="KO24" s="301"/>
      <c r="KP24" s="301"/>
      <c r="KQ24" s="301"/>
      <c r="KR24" s="301"/>
      <c r="KS24" s="301"/>
      <c r="KT24" s="301"/>
      <c r="KU24" s="301"/>
      <c r="KV24" s="301"/>
      <c r="KW24" s="301"/>
      <c r="KX24" s="301"/>
      <c r="KY24" s="301"/>
      <c r="KZ24" s="301"/>
      <c r="LA24" s="301"/>
      <c r="LB24" s="301"/>
      <c r="LC24" s="301"/>
      <c r="LD24" s="301"/>
      <c r="LE24" s="301"/>
      <c r="LF24" s="301"/>
      <c r="LG24" s="301"/>
      <c r="LH24" s="301"/>
      <c r="LI24" s="301"/>
      <c r="LJ24" s="301"/>
      <c r="LK24" s="301"/>
      <c r="LL24" s="301"/>
      <c r="LM24" s="301"/>
      <c r="LN24" s="301"/>
      <c r="LO24" s="301"/>
      <c r="LP24" s="301"/>
      <c r="LQ24" s="301"/>
      <c r="LR24" s="301"/>
      <c r="LS24" s="301"/>
      <c r="LT24" s="301"/>
      <c r="LU24" s="301"/>
      <c r="LV24" s="301"/>
      <c r="LW24" s="301"/>
      <c r="LX24" s="301"/>
      <c r="LY24" s="301"/>
      <c r="LZ24" s="301"/>
      <c r="MA24" s="301"/>
      <c r="MB24" s="301"/>
      <c r="MC24" s="301"/>
      <c r="MD24" s="301"/>
      <c r="ME24" s="301"/>
      <c r="MF24" s="301"/>
      <c r="MG24" s="301"/>
      <c r="MH24" s="301"/>
      <c r="MI24" s="301"/>
      <c r="MJ24" s="301"/>
      <c r="MK24" s="301"/>
      <c r="ML24" s="301"/>
      <c r="MM24" s="301"/>
      <c r="MN24" s="301"/>
      <c r="MO24" s="301"/>
      <c r="MP24" s="301"/>
      <c r="MQ24" s="301"/>
      <c r="MR24" s="301"/>
      <c r="MS24" s="301"/>
      <c r="MT24" s="301"/>
      <c r="MU24" s="301"/>
      <c r="MV24" s="301"/>
      <c r="MW24" s="301"/>
      <c r="MX24" s="301"/>
      <c r="MY24" s="301"/>
      <c r="MZ24" s="301"/>
      <c r="NA24" s="301"/>
      <c r="NB24" s="301"/>
      <c r="NC24" s="301"/>
      <c r="ND24" s="301"/>
      <c r="NE24" s="301"/>
      <c r="NF24" s="301"/>
      <c r="NG24" s="301"/>
      <c r="NH24" s="301"/>
      <c r="NI24" s="301"/>
      <c r="NJ24" s="301"/>
      <c r="NK24" s="301"/>
      <c r="NL24" s="301"/>
      <c r="NM24" s="301"/>
      <c r="NN24" s="301"/>
      <c r="NO24" s="301"/>
      <c r="NP24" s="301"/>
      <c r="NQ24" s="301"/>
      <c r="NR24" s="301"/>
      <c r="NS24" s="301"/>
      <c r="NT24" s="301"/>
      <c r="NU24" s="301"/>
      <c r="NV24" s="301"/>
      <c r="NW24" s="301"/>
      <c r="NX24" s="301"/>
      <c r="NY24" s="301"/>
      <c r="NZ24" s="301"/>
      <c r="OA24" s="301"/>
      <c r="OB24" s="301"/>
      <c r="OC24" s="301"/>
      <c r="OD24" s="301"/>
      <c r="OE24" s="301"/>
      <c r="OF24" s="301"/>
      <c r="OG24" s="301"/>
      <c r="OH24" s="301"/>
      <c r="OI24" s="301"/>
      <c r="OJ24" s="301"/>
      <c r="OK24" s="301"/>
      <c r="OL24" s="301"/>
      <c r="OM24" s="301"/>
      <c r="ON24" s="301"/>
      <c r="OO24" s="301"/>
      <c r="OP24" s="301"/>
      <c r="OQ24" s="301"/>
      <c r="OR24" s="301"/>
      <c r="OS24" s="301"/>
      <c r="OT24" s="301"/>
      <c r="OU24" s="301"/>
      <c r="OV24" s="301"/>
      <c r="OW24" s="301"/>
      <c r="OX24" s="301"/>
      <c r="OY24" s="301"/>
      <c r="OZ24" s="301"/>
      <c r="PA24" s="301"/>
      <c r="PB24" s="301"/>
      <c r="PC24" s="301"/>
      <c r="PD24" s="301"/>
      <c r="PE24" s="301"/>
      <c r="PF24" s="301"/>
      <c r="PG24" s="301"/>
      <c r="PH24" s="301"/>
      <c r="PI24" s="301"/>
      <c r="PJ24" s="301"/>
      <c r="PK24" s="301"/>
      <c r="PL24" s="301"/>
      <c r="PM24" s="301"/>
      <c r="PN24" s="301"/>
      <c r="PO24" s="301"/>
      <c r="PP24" s="301"/>
      <c r="PQ24" s="301"/>
      <c r="PR24" s="301"/>
      <c r="PS24" s="301"/>
      <c r="PT24" s="301"/>
      <c r="PU24" s="301"/>
      <c r="PV24" s="301"/>
      <c r="PW24" s="301"/>
      <c r="PX24" s="301"/>
      <c r="PY24" s="301"/>
      <c r="PZ24" s="301"/>
      <c r="QA24" s="301"/>
      <c r="QB24" s="301"/>
      <c r="QC24" s="301"/>
      <c r="QD24" s="301"/>
      <c r="QE24" s="301"/>
      <c r="QF24" s="301"/>
      <c r="QG24" s="301"/>
      <c r="QH24" s="301"/>
      <c r="QI24" s="301"/>
      <c r="QJ24" s="301"/>
      <c r="QK24" s="301"/>
      <c r="QL24" s="301"/>
      <c r="QM24" s="301"/>
      <c r="QN24" s="301"/>
      <c r="QO24" s="301"/>
      <c r="QP24" s="301"/>
      <c r="QQ24" s="301"/>
      <c r="QR24" s="301"/>
      <c r="QS24" s="301"/>
      <c r="QT24" s="301"/>
      <c r="QU24" s="301"/>
      <c r="QV24" s="301"/>
      <c r="QW24" s="301"/>
      <c r="QX24" s="301"/>
      <c r="QY24" s="301"/>
      <c r="QZ24" s="301"/>
      <c r="RA24" s="301"/>
      <c r="RB24" s="301"/>
      <c r="RC24" s="301"/>
      <c r="RD24" s="301"/>
      <c r="RE24" s="301"/>
      <c r="RF24" s="301"/>
      <c r="RG24" s="301"/>
      <c r="RH24" s="301"/>
      <c r="RI24" s="301"/>
      <c r="RJ24" s="301"/>
      <c r="RK24" s="301"/>
      <c r="RL24" s="301"/>
      <c r="RM24" s="301"/>
      <c r="RN24" s="301"/>
      <c r="RO24" s="301"/>
      <c r="RP24" s="301"/>
      <c r="RQ24" s="301"/>
      <c r="RR24" s="301"/>
      <c r="RS24" s="301"/>
      <c r="RT24" s="301"/>
      <c r="RU24" s="301"/>
      <c r="RV24" s="301"/>
      <c r="RW24" s="301"/>
      <c r="RX24" s="301"/>
      <c r="RY24" s="301"/>
      <c r="RZ24" s="301"/>
      <c r="SA24" s="301"/>
      <c r="SB24" s="301"/>
      <c r="SC24" s="301"/>
      <c r="SD24" s="301"/>
      <c r="SE24" s="301"/>
      <c r="SF24" s="301"/>
      <c r="SG24" s="301"/>
      <c r="SH24" s="301"/>
      <c r="SI24" s="301"/>
      <c r="SJ24" s="301"/>
      <c r="SK24" s="301"/>
      <c r="SL24" s="301"/>
      <c r="SM24" s="301"/>
      <c r="SN24" s="301"/>
      <c r="SO24" s="301"/>
      <c r="SP24" s="301"/>
      <c r="SQ24" s="301"/>
      <c r="SR24" s="301"/>
      <c r="SS24" s="301"/>
      <c r="ST24" s="301"/>
      <c r="SU24" s="301"/>
      <c r="SV24" s="301"/>
      <c r="SW24" s="301"/>
      <c r="SX24" s="301"/>
      <c r="SY24" s="301"/>
      <c r="SZ24" s="301"/>
      <c r="TA24" s="301"/>
      <c r="TB24" s="301"/>
      <c r="TC24" s="301"/>
      <c r="TD24" s="301"/>
      <c r="TE24" s="301"/>
      <c r="TF24" s="301"/>
      <c r="TG24" s="301"/>
      <c r="TH24" s="301"/>
      <c r="TI24" s="301"/>
      <c r="TJ24" s="301"/>
      <c r="TK24" s="301"/>
      <c r="TL24" s="301"/>
      <c r="TM24" s="301"/>
      <c r="TN24" s="301"/>
      <c r="TO24" s="301"/>
      <c r="TP24" s="301"/>
      <c r="TQ24" s="301"/>
      <c r="TR24" s="301"/>
      <c r="TS24" s="301"/>
      <c r="TT24" s="301"/>
      <c r="TU24" s="301"/>
      <c r="TV24" s="301"/>
      <c r="TW24" s="301"/>
      <c r="TX24" s="301"/>
      <c r="TY24" s="301"/>
      <c r="TZ24" s="301"/>
      <c r="UA24" s="301"/>
      <c r="UB24" s="301"/>
      <c r="UC24" s="301"/>
      <c r="UD24" s="301"/>
      <c r="UE24" s="301"/>
      <c r="UF24" s="301"/>
      <c r="UG24" s="301"/>
      <c r="UH24" s="301"/>
      <c r="UI24" s="301"/>
      <c r="UJ24" s="301"/>
      <c r="UK24" s="301"/>
      <c r="UL24" s="301"/>
      <c r="UM24" s="301"/>
      <c r="UN24" s="301"/>
      <c r="UO24" s="301"/>
      <c r="UP24" s="301"/>
      <c r="UQ24" s="301"/>
      <c r="UR24" s="301"/>
      <c r="US24" s="301"/>
      <c r="UT24" s="301"/>
      <c r="UU24" s="301"/>
      <c r="UV24" s="301"/>
      <c r="UW24" s="301"/>
      <c r="UX24" s="301"/>
      <c r="UY24" s="301"/>
      <c r="UZ24" s="301"/>
      <c r="VA24" s="301"/>
      <c r="VB24" s="301"/>
      <c r="VC24" s="301"/>
      <c r="VD24" s="301"/>
      <c r="VE24" s="301"/>
      <c r="VF24" s="301"/>
      <c r="VG24" s="301"/>
      <c r="VH24" s="301"/>
      <c r="VI24" s="301"/>
      <c r="VJ24" s="301"/>
      <c r="VK24" s="301"/>
      <c r="VL24" s="301"/>
      <c r="VM24" s="301"/>
      <c r="VN24" s="301"/>
      <c r="VO24" s="301"/>
      <c r="VP24" s="301"/>
      <c r="VQ24" s="301"/>
      <c r="VR24" s="301"/>
      <c r="VS24" s="301"/>
      <c r="VT24" s="301"/>
      <c r="VU24" s="301"/>
      <c r="VV24" s="301"/>
      <c r="VW24" s="301"/>
      <c r="VX24" s="301"/>
      <c r="VY24" s="301"/>
      <c r="VZ24" s="301"/>
      <c r="WA24" s="301"/>
      <c r="WB24" s="301"/>
      <c r="WC24" s="301"/>
      <c r="WD24" s="301"/>
      <c r="WE24" s="301"/>
      <c r="WF24" s="301"/>
      <c r="WG24" s="301"/>
      <c r="WH24" s="301"/>
      <c r="WI24" s="301"/>
      <c r="WJ24" s="301"/>
      <c r="WK24" s="301"/>
      <c r="WL24" s="301"/>
      <c r="WM24" s="301"/>
      <c r="WN24" s="301"/>
      <c r="WO24" s="301"/>
      <c r="WP24" s="301"/>
      <c r="WQ24" s="301"/>
      <c r="WR24" s="301"/>
      <c r="WS24" s="301"/>
      <c r="WT24" s="301"/>
      <c r="WU24" s="301"/>
      <c r="WV24" s="301"/>
      <c r="WW24" s="301"/>
      <c r="WX24" s="301"/>
      <c r="WY24" s="301"/>
      <c r="WZ24" s="301"/>
      <c r="XA24" s="301"/>
      <c r="XB24" s="301"/>
      <c r="XC24" s="301"/>
      <c r="XD24" s="301"/>
      <c r="XE24" s="301"/>
      <c r="XF24" s="301"/>
      <c r="XG24" s="301"/>
      <c r="XH24" s="301"/>
      <c r="XI24" s="301"/>
      <c r="XJ24" s="301"/>
      <c r="XK24" s="301"/>
      <c r="XL24" s="301"/>
      <c r="XM24" s="301"/>
      <c r="XN24" s="301"/>
      <c r="XO24" s="301"/>
      <c r="XP24" s="301"/>
      <c r="XQ24" s="301"/>
      <c r="XR24" s="301"/>
      <c r="XS24" s="301"/>
      <c r="XT24" s="301"/>
      <c r="XU24" s="301"/>
      <c r="XV24" s="301"/>
      <c r="XW24" s="301"/>
      <c r="XX24" s="301"/>
      <c r="XY24" s="301"/>
      <c r="XZ24" s="301"/>
      <c r="YA24" s="301"/>
      <c r="YB24" s="301"/>
      <c r="YC24" s="301"/>
      <c r="YD24" s="301"/>
      <c r="YE24" s="301"/>
      <c r="YF24" s="301"/>
      <c r="YG24" s="301"/>
      <c r="YH24" s="301"/>
      <c r="YI24" s="301"/>
      <c r="YJ24" s="301"/>
      <c r="YK24" s="301"/>
      <c r="YL24" s="301"/>
      <c r="YM24" s="301"/>
      <c r="YN24" s="301"/>
      <c r="YO24" s="301"/>
      <c r="YP24" s="301"/>
      <c r="YQ24" s="301"/>
      <c r="YR24" s="301"/>
      <c r="YS24" s="301"/>
      <c r="YT24" s="301"/>
      <c r="YU24" s="301"/>
      <c r="YV24" s="301"/>
      <c r="YW24" s="301"/>
      <c r="YX24" s="301"/>
      <c r="YY24" s="301"/>
      <c r="YZ24" s="301"/>
      <c r="ZA24" s="301"/>
      <c r="ZB24" s="301"/>
      <c r="ZC24" s="301"/>
      <c r="ZD24" s="301"/>
      <c r="ZE24" s="301"/>
      <c r="ZF24" s="301"/>
      <c r="ZG24" s="301"/>
      <c r="ZH24" s="301"/>
      <c r="ZI24" s="301"/>
      <c r="ZJ24" s="301"/>
      <c r="ZK24" s="301"/>
      <c r="ZL24" s="301"/>
      <c r="ZM24" s="301"/>
      <c r="ZN24" s="301"/>
      <c r="ZO24" s="301"/>
      <c r="ZP24" s="301"/>
      <c r="ZQ24" s="301"/>
      <c r="ZR24" s="301"/>
      <c r="ZS24" s="301"/>
      <c r="ZT24" s="301"/>
      <c r="ZU24" s="301"/>
      <c r="ZV24" s="301"/>
      <c r="ZW24" s="301"/>
      <c r="ZX24" s="301"/>
      <c r="ZY24" s="301"/>
      <c r="ZZ24" s="301"/>
      <c r="AAA24" s="301"/>
      <c r="AAB24" s="301"/>
      <c r="AAC24" s="301"/>
      <c r="AAD24" s="301"/>
      <c r="AAE24" s="301"/>
      <c r="AAF24" s="301"/>
      <c r="AAG24" s="301"/>
      <c r="AAH24" s="301"/>
      <c r="AAI24" s="301"/>
      <c r="AAJ24" s="301"/>
      <c r="AAK24" s="301"/>
      <c r="AAL24" s="301"/>
      <c r="AAM24" s="301"/>
      <c r="AAN24" s="301"/>
      <c r="AAO24" s="301"/>
      <c r="AAP24" s="301"/>
      <c r="AAQ24" s="301"/>
      <c r="AAR24" s="301"/>
      <c r="AAS24" s="301"/>
      <c r="AAT24" s="301"/>
      <c r="AAU24" s="301"/>
      <c r="AAV24" s="301"/>
      <c r="AAW24" s="301"/>
      <c r="AAX24" s="301"/>
      <c r="AAY24" s="301"/>
      <c r="AAZ24" s="301"/>
      <c r="ABA24" s="301"/>
      <c r="ABB24" s="301"/>
      <c r="ABC24" s="301"/>
      <c r="ABD24" s="301"/>
      <c r="ABE24" s="301"/>
      <c r="ABF24" s="301"/>
      <c r="ABG24" s="301"/>
      <c r="ABH24" s="301"/>
      <c r="ABI24" s="301"/>
      <c r="ABJ24" s="301"/>
      <c r="ABK24" s="301"/>
      <c r="ABL24" s="301"/>
      <c r="ABM24" s="301"/>
      <c r="ABN24" s="301"/>
      <c r="ABO24" s="301"/>
      <c r="ABP24" s="301"/>
      <c r="ABQ24" s="301"/>
      <c r="ABR24" s="301"/>
      <c r="ABS24" s="301"/>
      <c r="ABT24" s="301"/>
      <c r="ABU24" s="301"/>
      <c r="ABV24" s="301"/>
      <c r="ABW24" s="301"/>
      <c r="ABX24" s="301"/>
      <c r="ABY24" s="301"/>
      <c r="ABZ24" s="301"/>
      <c r="ACA24" s="301"/>
      <c r="ACB24" s="301"/>
      <c r="ACC24" s="301"/>
      <c r="ACD24" s="301"/>
      <c r="ACE24" s="301"/>
      <c r="ACF24" s="301"/>
      <c r="ACG24" s="301"/>
      <c r="ACH24" s="301"/>
      <c r="ACI24" s="301"/>
      <c r="ACJ24" s="301"/>
      <c r="ACK24" s="301"/>
      <c r="ACL24" s="301"/>
      <c r="ACM24" s="301"/>
      <c r="ACN24" s="301"/>
      <c r="ACO24" s="301"/>
      <c r="ACP24" s="301"/>
      <c r="ACQ24" s="301"/>
      <c r="ACR24" s="301"/>
      <c r="ACS24" s="301"/>
      <c r="ACT24" s="301"/>
      <c r="ACU24" s="301"/>
      <c r="ACV24" s="301"/>
      <c r="ACW24" s="301"/>
      <c r="ACX24" s="301"/>
      <c r="ACY24" s="301"/>
      <c r="ACZ24" s="301"/>
      <c r="ADA24" s="301"/>
      <c r="ADB24" s="301"/>
      <c r="ADC24" s="301"/>
      <c r="ADD24" s="301"/>
      <c r="ADE24" s="301"/>
      <c r="ADF24" s="301"/>
      <c r="ADG24" s="301"/>
      <c r="ADH24" s="301"/>
      <c r="ADI24" s="301"/>
      <c r="ADJ24" s="301"/>
      <c r="ADK24" s="301"/>
      <c r="ADL24" s="301"/>
      <c r="ADM24" s="301"/>
      <c r="ADN24" s="301"/>
      <c r="ADO24" s="301"/>
      <c r="ADP24" s="301"/>
      <c r="ADQ24" s="301"/>
      <c r="ADR24" s="301"/>
      <c r="ADS24" s="301"/>
      <c r="ADT24" s="301"/>
      <c r="ADU24" s="301"/>
      <c r="ADV24" s="301"/>
      <c r="ADW24" s="301"/>
      <c r="ADX24" s="301"/>
      <c r="ADY24" s="301"/>
      <c r="ADZ24" s="301"/>
      <c r="AEA24" s="301"/>
      <c r="AEB24" s="301"/>
      <c r="AEC24" s="301"/>
      <c r="AED24" s="301"/>
      <c r="AEE24" s="301"/>
      <c r="AEF24" s="301"/>
      <c r="AEG24" s="301"/>
      <c r="AEH24" s="301"/>
      <c r="AEI24" s="301"/>
      <c r="AEJ24" s="301"/>
      <c r="AEK24" s="301"/>
      <c r="AEL24" s="301"/>
      <c r="AEM24" s="301"/>
      <c r="AEN24" s="301"/>
      <c r="AEO24" s="301"/>
      <c r="AEP24" s="301"/>
      <c r="AEQ24" s="301"/>
      <c r="AER24" s="301"/>
      <c r="AES24" s="301"/>
      <c r="AET24" s="301"/>
      <c r="AEU24" s="301"/>
      <c r="AEV24" s="301"/>
      <c r="AEW24" s="301"/>
      <c r="AEX24" s="301"/>
      <c r="AEY24" s="301"/>
      <c r="AEZ24" s="301"/>
      <c r="AFA24" s="301"/>
      <c r="AFB24" s="301"/>
      <c r="AFC24" s="301"/>
      <c r="AFD24" s="301"/>
      <c r="AFE24" s="301"/>
      <c r="AFF24" s="301"/>
      <c r="AFG24" s="301"/>
      <c r="AFH24" s="301"/>
      <c r="AFI24" s="301"/>
      <c r="AFJ24" s="301"/>
      <c r="AFK24" s="301"/>
      <c r="AFL24" s="301"/>
      <c r="AFM24" s="301"/>
      <c r="AFN24" s="301"/>
      <c r="AFO24" s="301"/>
      <c r="AFP24" s="301"/>
      <c r="AFQ24" s="301"/>
      <c r="AFR24" s="301"/>
      <c r="AFS24" s="301"/>
      <c r="AFT24" s="301"/>
      <c r="AFU24" s="301"/>
      <c r="AFV24" s="301"/>
      <c r="AFW24" s="301"/>
      <c r="AFX24" s="301"/>
      <c r="AFY24" s="301"/>
      <c r="AFZ24" s="301"/>
      <c r="AGA24" s="301"/>
      <c r="AGB24" s="301"/>
      <c r="AGC24" s="301"/>
      <c r="AGD24" s="301"/>
      <c r="AGE24" s="301"/>
      <c r="AGF24" s="301"/>
      <c r="AGG24" s="301"/>
      <c r="AGH24" s="301"/>
      <c r="AGI24" s="301"/>
      <c r="AGJ24" s="301"/>
      <c r="AGK24" s="301"/>
      <c r="AGL24" s="301"/>
      <c r="AGM24" s="301"/>
      <c r="AGN24" s="301"/>
      <c r="AGO24" s="301"/>
      <c r="AGP24" s="301"/>
      <c r="AGQ24" s="301"/>
      <c r="AGR24" s="301"/>
      <c r="AGS24" s="301"/>
      <c r="AGT24" s="301"/>
      <c r="AGU24" s="301"/>
      <c r="AGV24" s="301"/>
      <c r="AGW24" s="301"/>
      <c r="AGX24" s="301"/>
      <c r="AGY24" s="301"/>
      <c r="AGZ24" s="301"/>
      <c r="AHA24" s="301"/>
      <c r="AHB24" s="301"/>
      <c r="AHC24" s="301"/>
      <c r="AHD24" s="301"/>
      <c r="AHE24" s="301"/>
      <c r="AHF24" s="301"/>
      <c r="AHG24" s="301"/>
      <c r="AHH24" s="301"/>
      <c r="AHI24" s="301"/>
      <c r="AHJ24" s="301"/>
      <c r="AHK24" s="301"/>
      <c r="AHL24" s="301"/>
      <c r="AHM24" s="301"/>
      <c r="AHN24" s="301"/>
      <c r="AHO24" s="301"/>
      <c r="AHP24" s="301"/>
      <c r="AHQ24" s="301"/>
      <c r="AHR24" s="301"/>
      <c r="AHS24" s="301"/>
      <c r="AHT24" s="301"/>
      <c r="AHU24" s="301"/>
      <c r="AHV24" s="301"/>
      <c r="AHW24" s="301"/>
      <c r="AHX24" s="301"/>
      <c r="AHY24" s="301"/>
      <c r="AHZ24" s="301"/>
      <c r="AIA24" s="301"/>
      <c r="AIB24" s="301"/>
      <c r="AIC24" s="301"/>
      <c r="AID24" s="301"/>
      <c r="AIE24" s="301"/>
      <c r="AIF24" s="301"/>
      <c r="AIG24" s="301"/>
      <c r="AIH24" s="301"/>
      <c r="AII24" s="301"/>
      <c r="AIJ24" s="301"/>
      <c r="AIK24" s="301"/>
      <c r="AIL24" s="301"/>
      <c r="AIM24" s="301"/>
      <c r="AIN24" s="301"/>
      <c r="AIO24" s="301"/>
      <c r="AIP24" s="301"/>
      <c r="AIQ24" s="301"/>
      <c r="AIR24" s="301"/>
      <c r="AIS24" s="301"/>
      <c r="AIT24" s="301"/>
      <c r="AIU24" s="301"/>
      <c r="AIV24" s="301"/>
      <c r="AIW24" s="301"/>
      <c r="AIX24" s="301"/>
      <c r="AIY24" s="301"/>
      <c r="AIZ24" s="301"/>
      <c r="AJA24" s="301"/>
      <c r="AJB24" s="301"/>
      <c r="AJC24" s="301"/>
      <c r="AJD24" s="301"/>
      <c r="AJE24" s="301"/>
      <c r="AJF24" s="301"/>
      <c r="AJG24" s="301"/>
      <c r="AJH24" s="301"/>
      <c r="AJI24" s="301"/>
      <c r="AJJ24" s="301"/>
      <c r="AJK24" s="301"/>
      <c r="AJL24" s="301"/>
      <c r="AJM24" s="301"/>
      <c r="AJN24" s="301"/>
      <c r="AJO24" s="301"/>
      <c r="AJP24" s="301"/>
      <c r="AJQ24" s="301"/>
      <c r="AJR24" s="301"/>
      <c r="AJS24" s="301"/>
      <c r="AJT24" s="301"/>
      <c r="AJU24" s="301"/>
      <c r="AJV24" s="301"/>
      <c r="AJW24" s="301"/>
      <c r="AJX24" s="301"/>
      <c r="AJY24" s="301"/>
      <c r="AJZ24" s="301"/>
      <c r="AKA24" s="301"/>
      <c r="AKB24" s="301"/>
      <c r="AKC24" s="301"/>
      <c r="AKD24" s="301"/>
      <c r="AKE24" s="301"/>
      <c r="AKF24" s="301"/>
      <c r="AKG24" s="301"/>
      <c r="AKH24" s="301"/>
      <c r="AKI24" s="301"/>
      <c r="AKJ24" s="301"/>
      <c r="AKK24" s="301"/>
      <c r="AKL24" s="301"/>
      <c r="AKM24" s="301"/>
      <c r="AKN24" s="301"/>
      <c r="AKO24" s="301"/>
      <c r="AKP24" s="301"/>
      <c r="AKQ24" s="301"/>
      <c r="AKR24" s="301"/>
      <c r="AKS24" s="301"/>
      <c r="AKT24" s="301"/>
      <c r="AKU24" s="301"/>
      <c r="AKV24" s="301"/>
      <c r="AKW24" s="301"/>
      <c r="AKX24" s="301"/>
      <c r="AKY24" s="301"/>
      <c r="AKZ24" s="301"/>
      <c r="ALA24" s="301"/>
      <c r="ALB24" s="301"/>
      <c r="ALC24" s="301"/>
      <c r="ALD24" s="301"/>
      <c r="ALE24" s="301"/>
      <c r="ALF24" s="301"/>
      <c r="ALG24" s="301"/>
      <c r="ALH24" s="301"/>
      <c r="ALI24" s="301"/>
      <c r="ALJ24" s="301"/>
      <c r="ALK24" s="301"/>
      <c r="ALL24" s="301"/>
      <c r="ALM24" s="301"/>
      <c r="ALN24" s="301"/>
      <c r="ALO24" s="301"/>
      <c r="ALP24" s="301"/>
      <c r="ALQ24" s="301"/>
      <c r="ALR24" s="301"/>
      <c r="ALS24" s="301"/>
      <c r="ALT24" s="301"/>
      <c r="ALU24" s="301"/>
      <c r="ALV24" s="301"/>
      <c r="ALW24" s="301"/>
      <c r="ALX24" s="301"/>
      <c r="ALY24" s="301"/>
      <c r="ALZ24" s="301"/>
      <c r="AMA24" s="301"/>
      <c r="AMB24" s="301"/>
      <c r="AMC24" s="301"/>
      <c r="AMD24" s="301"/>
      <c r="AME24" s="301"/>
      <c r="AMF24" s="301"/>
      <c r="AMG24" s="301"/>
      <c r="AMH24" s="301"/>
      <c r="AMI24" s="301"/>
      <c r="AMJ24" s="301"/>
    </row>
    <row r="25" customFormat="false" ht="12.8" hidden="false" customHeight="false" outlineLevel="0" collapsed="false">
      <c r="A25" s="299" t="s">
        <v>208</v>
      </c>
      <c r="B25" s="310"/>
      <c r="C25" s="311" t="str">
        <f aca="false">IF(B25&gt;0,1,"")</f>
        <v/>
      </c>
      <c r="D25" s="310"/>
      <c r="E25" s="311" t="str">
        <f aca="false">IF(D25&gt;0,1,"")</f>
        <v/>
      </c>
      <c r="F25" s="310" t="n">
        <v>0</v>
      </c>
      <c r="G25" s="311" t="str">
        <f aca="false">IF(F25&gt;0,1,"")</f>
        <v/>
      </c>
      <c r="H25" s="310"/>
      <c r="I25" s="311" t="str">
        <f aca="false">IF(H25&gt;0,1,"")</f>
        <v/>
      </c>
      <c r="J25" s="326" t="str">
        <f aca="false">IF(SUM(C25,E25,G25,I25)&gt;1,"ERROR",IF(B25&gt;=1,B25*52,IF(D25&gt;=1,D25*26,IF(F25&gt;=1,F25*12,IF(H25&gt;=1,H25*4,"")))))</f>
        <v/>
      </c>
      <c r="K25" s="301"/>
      <c r="L25" s="301"/>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Q25" s="301"/>
      <c r="BR25" s="301"/>
      <c r="BS25" s="301"/>
      <c r="BT25" s="301"/>
      <c r="BU25" s="301"/>
      <c r="BV25" s="301"/>
      <c r="BW25" s="301"/>
      <c r="BX25" s="301"/>
      <c r="BY25" s="301"/>
      <c r="BZ25" s="301"/>
      <c r="CA25" s="301"/>
      <c r="CB25" s="301"/>
      <c r="CC25" s="301"/>
      <c r="CD25" s="301"/>
      <c r="CE25" s="301"/>
      <c r="CF25" s="301"/>
      <c r="CG25" s="301"/>
      <c r="CH25" s="301"/>
      <c r="CI25" s="301"/>
      <c r="CJ25" s="301"/>
      <c r="CK25" s="301"/>
      <c r="CL25" s="301"/>
      <c r="CM25" s="301"/>
      <c r="CN25" s="301"/>
      <c r="CO25" s="301"/>
      <c r="CP25" s="301"/>
      <c r="CQ25" s="301"/>
      <c r="CR25" s="301"/>
      <c r="CS25" s="301"/>
      <c r="CT25" s="301"/>
      <c r="CU25" s="301"/>
      <c r="CV25" s="301"/>
      <c r="CW25" s="301"/>
      <c r="CX25" s="301"/>
      <c r="CY25" s="301"/>
      <c r="CZ25" s="301"/>
      <c r="DA25" s="301"/>
      <c r="DB25" s="301"/>
      <c r="DC25" s="301"/>
      <c r="DD25" s="301"/>
      <c r="DE25" s="301"/>
      <c r="DF25" s="301"/>
      <c r="DG25" s="301"/>
      <c r="DH25" s="301"/>
      <c r="DI25" s="301"/>
      <c r="DJ25" s="301"/>
      <c r="DK25" s="301"/>
      <c r="DL25" s="301"/>
      <c r="DM25" s="301"/>
      <c r="DN25" s="301"/>
      <c r="DO25" s="301"/>
      <c r="DP25" s="301"/>
      <c r="DQ25" s="301"/>
      <c r="DR25" s="301"/>
      <c r="DS25" s="301"/>
      <c r="DT25" s="301"/>
      <c r="DU25" s="301"/>
      <c r="DV25" s="301"/>
      <c r="DW25" s="301"/>
      <c r="DX25" s="301"/>
      <c r="DY25" s="301"/>
      <c r="DZ25" s="301"/>
      <c r="EA25" s="301"/>
      <c r="EB25" s="301"/>
      <c r="EC25" s="301"/>
      <c r="ED25" s="301"/>
      <c r="EE25" s="301"/>
      <c r="EF25" s="301"/>
      <c r="EG25" s="301"/>
      <c r="EH25" s="301"/>
      <c r="EI25" s="301"/>
      <c r="EJ25" s="301"/>
      <c r="EK25" s="301"/>
      <c r="EL25" s="301"/>
      <c r="EM25" s="301"/>
      <c r="EN25" s="301"/>
      <c r="EO25" s="301"/>
      <c r="EP25" s="301"/>
      <c r="EQ25" s="301"/>
      <c r="ER25" s="301"/>
      <c r="ES25" s="301"/>
      <c r="ET25" s="301"/>
      <c r="EU25" s="301"/>
      <c r="EV25" s="301"/>
      <c r="EW25" s="301"/>
      <c r="EX25" s="301"/>
      <c r="EY25" s="301"/>
      <c r="EZ25" s="301"/>
      <c r="FA25" s="301"/>
      <c r="FB25" s="301"/>
      <c r="FC25" s="301"/>
      <c r="FD25" s="301"/>
      <c r="FE25" s="301"/>
      <c r="FF25" s="301"/>
      <c r="FG25" s="301"/>
      <c r="FH25" s="301"/>
      <c r="FI25" s="301"/>
      <c r="FJ25" s="301"/>
      <c r="FK25" s="301"/>
      <c r="FL25" s="301"/>
      <c r="FM25" s="301"/>
      <c r="FN25" s="301"/>
      <c r="FO25" s="301"/>
      <c r="FP25" s="301"/>
      <c r="FQ25" s="301"/>
      <c r="FR25" s="301"/>
      <c r="FS25" s="301"/>
      <c r="FT25" s="301"/>
      <c r="FU25" s="301"/>
      <c r="FV25" s="301"/>
      <c r="FW25" s="301"/>
      <c r="FX25" s="301"/>
      <c r="FY25" s="301"/>
      <c r="FZ25" s="301"/>
      <c r="GA25" s="301"/>
      <c r="GB25" s="301"/>
      <c r="GC25" s="301"/>
      <c r="GD25" s="301"/>
      <c r="GE25" s="301"/>
      <c r="GF25" s="301"/>
      <c r="GG25" s="301"/>
      <c r="GH25" s="301"/>
      <c r="GI25" s="301"/>
      <c r="GJ25" s="301"/>
      <c r="GK25" s="301"/>
      <c r="GL25" s="301"/>
      <c r="GM25" s="301"/>
      <c r="GN25" s="301"/>
      <c r="GO25" s="301"/>
      <c r="GP25" s="301"/>
      <c r="GQ25" s="301"/>
      <c r="GR25" s="301"/>
      <c r="GS25" s="301"/>
      <c r="GT25" s="301"/>
      <c r="GU25" s="301"/>
      <c r="GV25" s="301"/>
      <c r="GW25" s="301"/>
      <c r="GX25" s="301"/>
      <c r="GY25" s="301"/>
      <c r="GZ25" s="301"/>
      <c r="HA25" s="301"/>
      <c r="HB25" s="301"/>
      <c r="HC25" s="301"/>
      <c r="HD25" s="301"/>
      <c r="HE25" s="301"/>
      <c r="HF25" s="301"/>
      <c r="HG25" s="301"/>
      <c r="HH25" s="301"/>
      <c r="HI25" s="301"/>
      <c r="HJ25" s="301"/>
      <c r="HK25" s="301"/>
      <c r="HL25" s="301"/>
      <c r="HM25" s="301"/>
      <c r="HN25" s="301"/>
      <c r="HO25" s="301"/>
      <c r="HP25" s="301"/>
      <c r="HQ25" s="301"/>
      <c r="HR25" s="301"/>
      <c r="HS25" s="301"/>
      <c r="HT25" s="301"/>
      <c r="HU25" s="301"/>
      <c r="HV25" s="301"/>
      <c r="HW25" s="301"/>
      <c r="HX25" s="301"/>
      <c r="HY25" s="301"/>
      <c r="HZ25" s="301"/>
      <c r="IA25" s="301"/>
      <c r="IB25" s="301"/>
      <c r="IC25" s="301"/>
      <c r="ID25" s="301"/>
      <c r="IE25" s="301"/>
      <c r="IF25" s="301"/>
      <c r="IG25" s="301"/>
      <c r="IH25" s="301"/>
      <c r="II25" s="301"/>
      <c r="IJ25" s="301"/>
      <c r="IK25" s="301"/>
      <c r="IL25" s="301"/>
      <c r="IM25" s="301"/>
      <c r="IN25" s="301"/>
      <c r="IO25" s="301"/>
      <c r="IP25" s="301"/>
      <c r="IQ25" s="301"/>
      <c r="IR25" s="301"/>
      <c r="IS25" s="301"/>
      <c r="IT25" s="301"/>
      <c r="IU25" s="301"/>
      <c r="IV25" s="301"/>
      <c r="IW25" s="301"/>
      <c r="IX25" s="301"/>
      <c r="IY25" s="301"/>
      <c r="IZ25" s="301"/>
      <c r="JA25" s="301"/>
      <c r="JB25" s="301"/>
      <c r="JC25" s="301"/>
      <c r="JD25" s="301"/>
      <c r="JE25" s="301"/>
      <c r="JF25" s="301"/>
      <c r="JG25" s="301"/>
      <c r="JH25" s="301"/>
      <c r="JI25" s="301"/>
      <c r="JJ25" s="301"/>
      <c r="JK25" s="301"/>
      <c r="JL25" s="301"/>
      <c r="JM25" s="301"/>
      <c r="JN25" s="301"/>
      <c r="JO25" s="301"/>
      <c r="JP25" s="301"/>
      <c r="JQ25" s="301"/>
      <c r="JR25" s="301"/>
      <c r="JS25" s="301"/>
      <c r="JT25" s="301"/>
      <c r="JU25" s="301"/>
      <c r="JV25" s="301"/>
      <c r="JW25" s="301"/>
      <c r="JX25" s="301"/>
      <c r="JY25" s="301"/>
      <c r="JZ25" s="301"/>
      <c r="KA25" s="301"/>
      <c r="KB25" s="301"/>
      <c r="KC25" s="301"/>
      <c r="KD25" s="301"/>
      <c r="KE25" s="301"/>
      <c r="KF25" s="301"/>
      <c r="KG25" s="301"/>
      <c r="KH25" s="301"/>
      <c r="KI25" s="301"/>
      <c r="KJ25" s="301"/>
      <c r="KK25" s="301"/>
      <c r="KL25" s="301"/>
      <c r="KM25" s="301"/>
      <c r="KN25" s="301"/>
      <c r="KO25" s="301"/>
      <c r="KP25" s="301"/>
      <c r="KQ25" s="301"/>
      <c r="KR25" s="301"/>
      <c r="KS25" s="301"/>
      <c r="KT25" s="301"/>
      <c r="KU25" s="301"/>
      <c r="KV25" s="301"/>
      <c r="KW25" s="301"/>
      <c r="KX25" s="301"/>
      <c r="KY25" s="301"/>
      <c r="KZ25" s="301"/>
      <c r="LA25" s="301"/>
      <c r="LB25" s="301"/>
      <c r="LC25" s="301"/>
      <c r="LD25" s="301"/>
      <c r="LE25" s="301"/>
      <c r="LF25" s="301"/>
      <c r="LG25" s="301"/>
      <c r="LH25" s="301"/>
      <c r="LI25" s="301"/>
      <c r="LJ25" s="301"/>
      <c r="LK25" s="301"/>
      <c r="LL25" s="301"/>
      <c r="LM25" s="301"/>
      <c r="LN25" s="301"/>
      <c r="LO25" s="301"/>
      <c r="LP25" s="301"/>
      <c r="LQ25" s="301"/>
      <c r="LR25" s="301"/>
      <c r="LS25" s="301"/>
      <c r="LT25" s="301"/>
      <c r="LU25" s="301"/>
      <c r="LV25" s="301"/>
      <c r="LW25" s="301"/>
      <c r="LX25" s="301"/>
      <c r="LY25" s="301"/>
      <c r="LZ25" s="301"/>
      <c r="MA25" s="301"/>
      <c r="MB25" s="301"/>
      <c r="MC25" s="301"/>
      <c r="MD25" s="301"/>
      <c r="ME25" s="301"/>
      <c r="MF25" s="301"/>
      <c r="MG25" s="301"/>
      <c r="MH25" s="301"/>
      <c r="MI25" s="301"/>
      <c r="MJ25" s="301"/>
      <c r="MK25" s="301"/>
      <c r="ML25" s="301"/>
      <c r="MM25" s="301"/>
      <c r="MN25" s="301"/>
      <c r="MO25" s="301"/>
      <c r="MP25" s="301"/>
      <c r="MQ25" s="301"/>
      <c r="MR25" s="301"/>
      <c r="MS25" s="301"/>
      <c r="MT25" s="301"/>
      <c r="MU25" s="301"/>
      <c r="MV25" s="301"/>
      <c r="MW25" s="301"/>
      <c r="MX25" s="301"/>
      <c r="MY25" s="301"/>
      <c r="MZ25" s="301"/>
      <c r="NA25" s="301"/>
      <c r="NB25" s="301"/>
      <c r="NC25" s="301"/>
      <c r="ND25" s="301"/>
      <c r="NE25" s="301"/>
      <c r="NF25" s="301"/>
      <c r="NG25" s="301"/>
      <c r="NH25" s="301"/>
      <c r="NI25" s="301"/>
      <c r="NJ25" s="301"/>
      <c r="NK25" s="301"/>
      <c r="NL25" s="301"/>
      <c r="NM25" s="301"/>
      <c r="NN25" s="301"/>
      <c r="NO25" s="301"/>
      <c r="NP25" s="301"/>
      <c r="NQ25" s="301"/>
      <c r="NR25" s="301"/>
      <c r="NS25" s="301"/>
      <c r="NT25" s="301"/>
      <c r="NU25" s="301"/>
      <c r="NV25" s="301"/>
      <c r="NW25" s="301"/>
      <c r="NX25" s="301"/>
      <c r="NY25" s="301"/>
      <c r="NZ25" s="301"/>
      <c r="OA25" s="301"/>
      <c r="OB25" s="301"/>
      <c r="OC25" s="301"/>
      <c r="OD25" s="301"/>
      <c r="OE25" s="301"/>
      <c r="OF25" s="301"/>
      <c r="OG25" s="301"/>
      <c r="OH25" s="301"/>
      <c r="OI25" s="301"/>
      <c r="OJ25" s="301"/>
      <c r="OK25" s="301"/>
      <c r="OL25" s="301"/>
      <c r="OM25" s="301"/>
      <c r="ON25" s="301"/>
      <c r="OO25" s="301"/>
      <c r="OP25" s="301"/>
      <c r="OQ25" s="301"/>
      <c r="OR25" s="301"/>
      <c r="OS25" s="301"/>
      <c r="OT25" s="301"/>
      <c r="OU25" s="301"/>
      <c r="OV25" s="301"/>
      <c r="OW25" s="301"/>
      <c r="OX25" s="301"/>
      <c r="OY25" s="301"/>
      <c r="OZ25" s="301"/>
      <c r="PA25" s="301"/>
      <c r="PB25" s="301"/>
      <c r="PC25" s="301"/>
      <c r="PD25" s="301"/>
      <c r="PE25" s="301"/>
      <c r="PF25" s="301"/>
      <c r="PG25" s="301"/>
      <c r="PH25" s="301"/>
      <c r="PI25" s="301"/>
      <c r="PJ25" s="301"/>
      <c r="PK25" s="301"/>
      <c r="PL25" s="301"/>
      <c r="PM25" s="301"/>
      <c r="PN25" s="301"/>
      <c r="PO25" s="301"/>
      <c r="PP25" s="301"/>
      <c r="PQ25" s="301"/>
      <c r="PR25" s="301"/>
      <c r="PS25" s="301"/>
      <c r="PT25" s="301"/>
      <c r="PU25" s="301"/>
      <c r="PV25" s="301"/>
      <c r="PW25" s="301"/>
      <c r="PX25" s="301"/>
      <c r="PY25" s="301"/>
      <c r="PZ25" s="301"/>
      <c r="QA25" s="301"/>
      <c r="QB25" s="301"/>
      <c r="QC25" s="301"/>
      <c r="QD25" s="301"/>
      <c r="QE25" s="301"/>
      <c r="QF25" s="301"/>
      <c r="QG25" s="301"/>
      <c r="QH25" s="301"/>
      <c r="QI25" s="301"/>
      <c r="QJ25" s="301"/>
      <c r="QK25" s="301"/>
      <c r="QL25" s="301"/>
      <c r="QM25" s="301"/>
      <c r="QN25" s="301"/>
      <c r="QO25" s="301"/>
      <c r="QP25" s="301"/>
      <c r="QQ25" s="301"/>
      <c r="QR25" s="301"/>
      <c r="QS25" s="301"/>
      <c r="QT25" s="301"/>
      <c r="QU25" s="301"/>
      <c r="QV25" s="301"/>
      <c r="QW25" s="301"/>
      <c r="QX25" s="301"/>
      <c r="QY25" s="301"/>
      <c r="QZ25" s="301"/>
      <c r="RA25" s="301"/>
      <c r="RB25" s="301"/>
      <c r="RC25" s="301"/>
      <c r="RD25" s="301"/>
      <c r="RE25" s="301"/>
      <c r="RF25" s="301"/>
      <c r="RG25" s="301"/>
      <c r="RH25" s="301"/>
      <c r="RI25" s="301"/>
      <c r="RJ25" s="301"/>
      <c r="RK25" s="301"/>
      <c r="RL25" s="301"/>
      <c r="RM25" s="301"/>
      <c r="RN25" s="301"/>
      <c r="RO25" s="301"/>
      <c r="RP25" s="301"/>
      <c r="RQ25" s="301"/>
      <c r="RR25" s="301"/>
      <c r="RS25" s="301"/>
      <c r="RT25" s="301"/>
      <c r="RU25" s="301"/>
      <c r="RV25" s="301"/>
      <c r="RW25" s="301"/>
      <c r="RX25" s="301"/>
      <c r="RY25" s="301"/>
      <c r="RZ25" s="301"/>
      <c r="SA25" s="301"/>
      <c r="SB25" s="301"/>
      <c r="SC25" s="301"/>
      <c r="SD25" s="301"/>
      <c r="SE25" s="301"/>
      <c r="SF25" s="301"/>
      <c r="SG25" s="301"/>
      <c r="SH25" s="301"/>
      <c r="SI25" s="301"/>
      <c r="SJ25" s="301"/>
      <c r="SK25" s="301"/>
      <c r="SL25" s="301"/>
      <c r="SM25" s="301"/>
      <c r="SN25" s="301"/>
      <c r="SO25" s="301"/>
      <c r="SP25" s="301"/>
      <c r="SQ25" s="301"/>
      <c r="SR25" s="301"/>
      <c r="SS25" s="301"/>
      <c r="ST25" s="301"/>
      <c r="SU25" s="301"/>
      <c r="SV25" s="301"/>
      <c r="SW25" s="301"/>
      <c r="SX25" s="301"/>
      <c r="SY25" s="301"/>
      <c r="SZ25" s="301"/>
      <c r="TA25" s="301"/>
      <c r="TB25" s="301"/>
      <c r="TC25" s="301"/>
      <c r="TD25" s="301"/>
      <c r="TE25" s="301"/>
      <c r="TF25" s="301"/>
      <c r="TG25" s="301"/>
      <c r="TH25" s="301"/>
      <c r="TI25" s="301"/>
      <c r="TJ25" s="301"/>
      <c r="TK25" s="301"/>
      <c r="TL25" s="301"/>
      <c r="TM25" s="301"/>
      <c r="TN25" s="301"/>
      <c r="TO25" s="301"/>
      <c r="TP25" s="301"/>
      <c r="TQ25" s="301"/>
      <c r="TR25" s="301"/>
      <c r="TS25" s="301"/>
      <c r="TT25" s="301"/>
      <c r="TU25" s="301"/>
      <c r="TV25" s="301"/>
      <c r="TW25" s="301"/>
      <c r="TX25" s="301"/>
      <c r="TY25" s="301"/>
      <c r="TZ25" s="301"/>
      <c r="UA25" s="301"/>
      <c r="UB25" s="301"/>
      <c r="UC25" s="301"/>
      <c r="UD25" s="301"/>
      <c r="UE25" s="301"/>
      <c r="UF25" s="301"/>
      <c r="UG25" s="301"/>
      <c r="UH25" s="301"/>
      <c r="UI25" s="301"/>
      <c r="UJ25" s="301"/>
      <c r="UK25" s="301"/>
      <c r="UL25" s="301"/>
      <c r="UM25" s="301"/>
      <c r="UN25" s="301"/>
      <c r="UO25" s="301"/>
      <c r="UP25" s="301"/>
      <c r="UQ25" s="301"/>
      <c r="UR25" s="301"/>
      <c r="US25" s="301"/>
      <c r="UT25" s="301"/>
      <c r="UU25" s="301"/>
      <c r="UV25" s="301"/>
      <c r="UW25" s="301"/>
      <c r="UX25" s="301"/>
      <c r="UY25" s="301"/>
      <c r="UZ25" s="301"/>
      <c r="VA25" s="301"/>
      <c r="VB25" s="301"/>
      <c r="VC25" s="301"/>
      <c r="VD25" s="301"/>
      <c r="VE25" s="301"/>
      <c r="VF25" s="301"/>
      <c r="VG25" s="301"/>
      <c r="VH25" s="301"/>
      <c r="VI25" s="301"/>
      <c r="VJ25" s="301"/>
      <c r="VK25" s="301"/>
      <c r="VL25" s="301"/>
      <c r="VM25" s="301"/>
      <c r="VN25" s="301"/>
      <c r="VO25" s="301"/>
      <c r="VP25" s="301"/>
      <c r="VQ25" s="301"/>
      <c r="VR25" s="301"/>
      <c r="VS25" s="301"/>
      <c r="VT25" s="301"/>
      <c r="VU25" s="301"/>
      <c r="VV25" s="301"/>
      <c r="VW25" s="301"/>
      <c r="VX25" s="301"/>
      <c r="VY25" s="301"/>
      <c r="VZ25" s="301"/>
      <c r="WA25" s="301"/>
      <c r="WB25" s="301"/>
      <c r="WC25" s="301"/>
      <c r="WD25" s="301"/>
      <c r="WE25" s="301"/>
      <c r="WF25" s="301"/>
      <c r="WG25" s="301"/>
      <c r="WH25" s="301"/>
      <c r="WI25" s="301"/>
      <c r="WJ25" s="301"/>
      <c r="WK25" s="301"/>
      <c r="WL25" s="301"/>
      <c r="WM25" s="301"/>
      <c r="WN25" s="301"/>
      <c r="WO25" s="301"/>
      <c r="WP25" s="301"/>
      <c r="WQ25" s="301"/>
      <c r="WR25" s="301"/>
      <c r="WS25" s="301"/>
      <c r="WT25" s="301"/>
      <c r="WU25" s="301"/>
      <c r="WV25" s="301"/>
      <c r="WW25" s="301"/>
      <c r="WX25" s="301"/>
      <c r="WY25" s="301"/>
      <c r="WZ25" s="301"/>
      <c r="XA25" s="301"/>
      <c r="XB25" s="301"/>
      <c r="XC25" s="301"/>
      <c r="XD25" s="301"/>
      <c r="XE25" s="301"/>
      <c r="XF25" s="301"/>
      <c r="XG25" s="301"/>
      <c r="XH25" s="301"/>
      <c r="XI25" s="301"/>
      <c r="XJ25" s="301"/>
      <c r="XK25" s="301"/>
      <c r="XL25" s="301"/>
      <c r="XM25" s="301"/>
      <c r="XN25" s="301"/>
      <c r="XO25" s="301"/>
      <c r="XP25" s="301"/>
      <c r="XQ25" s="301"/>
      <c r="XR25" s="301"/>
      <c r="XS25" s="301"/>
      <c r="XT25" s="301"/>
      <c r="XU25" s="301"/>
      <c r="XV25" s="301"/>
      <c r="XW25" s="301"/>
      <c r="XX25" s="301"/>
      <c r="XY25" s="301"/>
      <c r="XZ25" s="301"/>
      <c r="YA25" s="301"/>
      <c r="YB25" s="301"/>
      <c r="YC25" s="301"/>
      <c r="YD25" s="301"/>
      <c r="YE25" s="301"/>
      <c r="YF25" s="301"/>
      <c r="YG25" s="301"/>
      <c r="YH25" s="301"/>
      <c r="YI25" s="301"/>
      <c r="YJ25" s="301"/>
      <c r="YK25" s="301"/>
      <c r="YL25" s="301"/>
      <c r="YM25" s="301"/>
      <c r="YN25" s="301"/>
      <c r="YO25" s="301"/>
      <c r="YP25" s="301"/>
      <c r="YQ25" s="301"/>
      <c r="YR25" s="301"/>
      <c r="YS25" s="301"/>
      <c r="YT25" s="301"/>
      <c r="YU25" s="301"/>
      <c r="YV25" s="301"/>
      <c r="YW25" s="301"/>
      <c r="YX25" s="301"/>
      <c r="YY25" s="301"/>
      <c r="YZ25" s="301"/>
      <c r="ZA25" s="301"/>
      <c r="ZB25" s="301"/>
      <c r="ZC25" s="301"/>
      <c r="ZD25" s="301"/>
      <c r="ZE25" s="301"/>
      <c r="ZF25" s="301"/>
      <c r="ZG25" s="301"/>
      <c r="ZH25" s="301"/>
      <c r="ZI25" s="301"/>
      <c r="ZJ25" s="301"/>
      <c r="ZK25" s="301"/>
      <c r="ZL25" s="301"/>
      <c r="ZM25" s="301"/>
      <c r="ZN25" s="301"/>
      <c r="ZO25" s="301"/>
      <c r="ZP25" s="301"/>
      <c r="ZQ25" s="301"/>
      <c r="ZR25" s="301"/>
      <c r="ZS25" s="301"/>
      <c r="ZT25" s="301"/>
      <c r="ZU25" s="301"/>
      <c r="ZV25" s="301"/>
      <c r="ZW25" s="301"/>
      <c r="ZX25" s="301"/>
      <c r="ZY25" s="301"/>
      <c r="ZZ25" s="301"/>
      <c r="AAA25" s="301"/>
      <c r="AAB25" s="301"/>
      <c r="AAC25" s="301"/>
      <c r="AAD25" s="301"/>
      <c r="AAE25" s="301"/>
      <c r="AAF25" s="301"/>
      <c r="AAG25" s="301"/>
      <c r="AAH25" s="301"/>
      <c r="AAI25" s="301"/>
      <c r="AAJ25" s="301"/>
      <c r="AAK25" s="301"/>
      <c r="AAL25" s="301"/>
      <c r="AAM25" s="301"/>
      <c r="AAN25" s="301"/>
      <c r="AAO25" s="301"/>
      <c r="AAP25" s="301"/>
      <c r="AAQ25" s="301"/>
      <c r="AAR25" s="301"/>
      <c r="AAS25" s="301"/>
      <c r="AAT25" s="301"/>
      <c r="AAU25" s="301"/>
      <c r="AAV25" s="301"/>
      <c r="AAW25" s="301"/>
      <c r="AAX25" s="301"/>
      <c r="AAY25" s="301"/>
      <c r="AAZ25" s="301"/>
      <c r="ABA25" s="301"/>
      <c r="ABB25" s="301"/>
      <c r="ABC25" s="301"/>
      <c r="ABD25" s="301"/>
      <c r="ABE25" s="301"/>
      <c r="ABF25" s="301"/>
      <c r="ABG25" s="301"/>
      <c r="ABH25" s="301"/>
      <c r="ABI25" s="301"/>
      <c r="ABJ25" s="301"/>
      <c r="ABK25" s="301"/>
      <c r="ABL25" s="301"/>
      <c r="ABM25" s="301"/>
      <c r="ABN25" s="301"/>
      <c r="ABO25" s="301"/>
      <c r="ABP25" s="301"/>
      <c r="ABQ25" s="301"/>
      <c r="ABR25" s="301"/>
      <c r="ABS25" s="301"/>
      <c r="ABT25" s="301"/>
      <c r="ABU25" s="301"/>
      <c r="ABV25" s="301"/>
      <c r="ABW25" s="301"/>
      <c r="ABX25" s="301"/>
      <c r="ABY25" s="301"/>
      <c r="ABZ25" s="301"/>
      <c r="ACA25" s="301"/>
      <c r="ACB25" s="301"/>
      <c r="ACC25" s="301"/>
      <c r="ACD25" s="301"/>
      <c r="ACE25" s="301"/>
      <c r="ACF25" s="301"/>
      <c r="ACG25" s="301"/>
      <c r="ACH25" s="301"/>
      <c r="ACI25" s="301"/>
      <c r="ACJ25" s="301"/>
      <c r="ACK25" s="301"/>
      <c r="ACL25" s="301"/>
      <c r="ACM25" s="301"/>
      <c r="ACN25" s="301"/>
      <c r="ACO25" s="301"/>
      <c r="ACP25" s="301"/>
      <c r="ACQ25" s="301"/>
      <c r="ACR25" s="301"/>
      <c r="ACS25" s="301"/>
      <c r="ACT25" s="301"/>
      <c r="ACU25" s="301"/>
      <c r="ACV25" s="301"/>
      <c r="ACW25" s="301"/>
      <c r="ACX25" s="301"/>
      <c r="ACY25" s="301"/>
      <c r="ACZ25" s="301"/>
      <c r="ADA25" s="301"/>
      <c r="ADB25" s="301"/>
      <c r="ADC25" s="301"/>
      <c r="ADD25" s="301"/>
      <c r="ADE25" s="301"/>
      <c r="ADF25" s="301"/>
      <c r="ADG25" s="301"/>
      <c r="ADH25" s="301"/>
      <c r="ADI25" s="301"/>
      <c r="ADJ25" s="301"/>
      <c r="ADK25" s="301"/>
      <c r="ADL25" s="301"/>
      <c r="ADM25" s="301"/>
      <c r="ADN25" s="301"/>
      <c r="ADO25" s="301"/>
      <c r="ADP25" s="301"/>
      <c r="ADQ25" s="301"/>
      <c r="ADR25" s="301"/>
      <c r="ADS25" s="301"/>
      <c r="ADT25" s="301"/>
      <c r="ADU25" s="301"/>
      <c r="ADV25" s="301"/>
      <c r="ADW25" s="301"/>
      <c r="ADX25" s="301"/>
      <c r="ADY25" s="301"/>
      <c r="ADZ25" s="301"/>
      <c r="AEA25" s="301"/>
      <c r="AEB25" s="301"/>
      <c r="AEC25" s="301"/>
      <c r="AED25" s="301"/>
      <c r="AEE25" s="301"/>
      <c r="AEF25" s="301"/>
      <c r="AEG25" s="301"/>
      <c r="AEH25" s="301"/>
      <c r="AEI25" s="301"/>
      <c r="AEJ25" s="301"/>
      <c r="AEK25" s="301"/>
      <c r="AEL25" s="301"/>
      <c r="AEM25" s="301"/>
      <c r="AEN25" s="301"/>
      <c r="AEO25" s="301"/>
      <c r="AEP25" s="301"/>
      <c r="AEQ25" s="301"/>
      <c r="AER25" s="301"/>
      <c r="AES25" s="301"/>
      <c r="AET25" s="301"/>
      <c r="AEU25" s="301"/>
      <c r="AEV25" s="301"/>
      <c r="AEW25" s="301"/>
      <c r="AEX25" s="301"/>
      <c r="AEY25" s="301"/>
      <c r="AEZ25" s="301"/>
      <c r="AFA25" s="301"/>
      <c r="AFB25" s="301"/>
      <c r="AFC25" s="301"/>
      <c r="AFD25" s="301"/>
      <c r="AFE25" s="301"/>
      <c r="AFF25" s="301"/>
      <c r="AFG25" s="301"/>
      <c r="AFH25" s="301"/>
      <c r="AFI25" s="301"/>
      <c r="AFJ25" s="301"/>
      <c r="AFK25" s="301"/>
      <c r="AFL25" s="301"/>
      <c r="AFM25" s="301"/>
      <c r="AFN25" s="301"/>
      <c r="AFO25" s="301"/>
      <c r="AFP25" s="301"/>
      <c r="AFQ25" s="301"/>
      <c r="AFR25" s="301"/>
      <c r="AFS25" s="301"/>
      <c r="AFT25" s="301"/>
      <c r="AFU25" s="301"/>
      <c r="AFV25" s="301"/>
      <c r="AFW25" s="301"/>
      <c r="AFX25" s="301"/>
      <c r="AFY25" s="301"/>
      <c r="AFZ25" s="301"/>
      <c r="AGA25" s="301"/>
      <c r="AGB25" s="301"/>
      <c r="AGC25" s="301"/>
      <c r="AGD25" s="301"/>
      <c r="AGE25" s="301"/>
      <c r="AGF25" s="301"/>
      <c r="AGG25" s="301"/>
      <c r="AGH25" s="301"/>
      <c r="AGI25" s="301"/>
      <c r="AGJ25" s="301"/>
      <c r="AGK25" s="301"/>
      <c r="AGL25" s="301"/>
      <c r="AGM25" s="301"/>
      <c r="AGN25" s="301"/>
      <c r="AGO25" s="301"/>
      <c r="AGP25" s="301"/>
      <c r="AGQ25" s="301"/>
      <c r="AGR25" s="301"/>
      <c r="AGS25" s="301"/>
      <c r="AGT25" s="301"/>
      <c r="AGU25" s="301"/>
      <c r="AGV25" s="301"/>
      <c r="AGW25" s="301"/>
      <c r="AGX25" s="301"/>
      <c r="AGY25" s="301"/>
      <c r="AGZ25" s="301"/>
      <c r="AHA25" s="301"/>
      <c r="AHB25" s="301"/>
      <c r="AHC25" s="301"/>
      <c r="AHD25" s="301"/>
      <c r="AHE25" s="301"/>
      <c r="AHF25" s="301"/>
      <c r="AHG25" s="301"/>
      <c r="AHH25" s="301"/>
      <c r="AHI25" s="301"/>
      <c r="AHJ25" s="301"/>
      <c r="AHK25" s="301"/>
      <c r="AHL25" s="301"/>
      <c r="AHM25" s="301"/>
      <c r="AHN25" s="301"/>
      <c r="AHO25" s="301"/>
      <c r="AHP25" s="301"/>
      <c r="AHQ25" s="301"/>
      <c r="AHR25" s="301"/>
      <c r="AHS25" s="301"/>
      <c r="AHT25" s="301"/>
      <c r="AHU25" s="301"/>
      <c r="AHV25" s="301"/>
      <c r="AHW25" s="301"/>
      <c r="AHX25" s="301"/>
      <c r="AHY25" s="301"/>
      <c r="AHZ25" s="301"/>
      <c r="AIA25" s="301"/>
      <c r="AIB25" s="301"/>
      <c r="AIC25" s="301"/>
      <c r="AID25" s="301"/>
      <c r="AIE25" s="301"/>
      <c r="AIF25" s="301"/>
      <c r="AIG25" s="301"/>
      <c r="AIH25" s="301"/>
      <c r="AII25" s="301"/>
      <c r="AIJ25" s="301"/>
      <c r="AIK25" s="301"/>
      <c r="AIL25" s="301"/>
      <c r="AIM25" s="301"/>
      <c r="AIN25" s="301"/>
      <c r="AIO25" s="301"/>
      <c r="AIP25" s="301"/>
      <c r="AIQ25" s="301"/>
      <c r="AIR25" s="301"/>
      <c r="AIS25" s="301"/>
      <c r="AIT25" s="301"/>
      <c r="AIU25" s="301"/>
      <c r="AIV25" s="301"/>
      <c r="AIW25" s="301"/>
      <c r="AIX25" s="301"/>
      <c r="AIY25" s="301"/>
      <c r="AIZ25" s="301"/>
      <c r="AJA25" s="301"/>
      <c r="AJB25" s="301"/>
      <c r="AJC25" s="301"/>
      <c r="AJD25" s="301"/>
      <c r="AJE25" s="301"/>
      <c r="AJF25" s="301"/>
      <c r="AJG25" s="301"/>
      <c r="AJH25" s="301"/>
      <c r="AJI25" s="301"/>
      <c r="AJJ25" s="301"/>
      <c r="AJK25" s="301"/>
      <c r="AJL25" s="301"/>
      <c r="AJM25" s="301"/>
      <c r="AJN25" s="301"/>
      <c r="AJO25" s="301"/>
      <c r="AJP25" s="301"/>
      <c r="AJQ25" s="301"/>
      <c r="AJR25" s="301"/>
      <c r="AJS25" s="301"/>
      <c r="AJT25" s="301"/>
      <c r="AJU25" s="301"/>
      <c r="AJV25" s="301"/>
      <c r="AJW25" s="301"/>
      <c r="AJX25" s="301"/>
      <c r="AJY25" s="301"/>
      <c r="AJZ25" s="301"/>
      <c r="AKA25" s="301"/>
      <c r="AKB25" s="301"/>
      <c r="AKC25" s="301"/>
      <c r="AKD25" s="301"/>
      <c r="AKE25" s="301"/>
      <c r="AKF25" s="301"/>
      <c r="AKG25" s="301"/>
      <c r="AKH25" s="301"/>
      <c r="AKI25" s="301"/>
      <c r="AKJ25" s="301"/>
      <c r="AKK25" s="301"/>
      <c r="AKL25" s="301"/>
      <c r="AKM25" s="301"/>
      <c r="AKN25" s="301"/>
      <c r="AKO25" s="301"/>
      <c r="AKP25" s="301"/>
      <c r="AKQ25" s="301"/>
      <c r="AKR25" s="301"/>
      <c r="AKS25" s="301"/>
      <c r="AKT25" s="301"/>
      <c r="AKU25" s="301"/>
      <c r="AKV25" s="301"/>
      <c r="AKW25" s="301"/>
      <c r="AKX25" s="301"/>
      <c r="AKY25" s="301"/>
      <c r="AKZ25" s="301"/>
      <c r="ALA25" s="301"/>
      <c r="ALB25" s="301"/>
      <c r="ALC25" s="301"/>
      <c r="ALD25" s="301"/>
      <c r="ALE25" s="301"/>
      <c r="ALF25" s="301"/>
      <c r="ALG25" s="301"/>
      <c r="ALH25" s="301"/>
      <c r="ALI25" s="301"/>
      <c r="ALJ25" s="301"/>
      <c r="ALK25" s="301"/>
      <c r="ALL25" s="301"/>
      <c r="ALM25" s="301"/>
      <c r="ALN25" s="301"/>
      <c r="ALO25" s="301"/>
      <c r="ALP25" s="301"/>
      <c r="ALQ25" s="301"/>
      <c r="ALR25" s="301"/>
      <c r="ALS25" s="301"/>
      <c r="ALT25" s="301"/>
      <c r="ALU25" s="301"/>
      <c r="ALV25" s="301"/>
      <c r="ALW25" s="301"/>
      <c r="ALX25" s="301"/>
      <c r="ALY25" s="301"/>
      <c r="ALZ25" s="301"/>
      <c r="AMA25" s="301"/>
      <c r="AMB25" s="301"/>
      <c r="AMC25" s="301"/>
      <c r="AMD25" s="301"/>
      <c r="AME25" s="301"/>
      <c r="AMF25" s="301"/>
      <c r="AMG25" s="301"/>
      <c r="AMH25" s="301"/>
      <c r="AMI25" s="301"/>
      <c r="AMJ25" s="301"/>
    </row>
    <row r="26" customFormat="false" ht="12.8" hidden="false" customHeight="false" outlineLevel="0" collapsed="false">
      <c r="A26" s="182" t="s">
        <v>209</v>
      </c>
      <c r="B26" s="319"/>
      <c r="C26" s="298"/>
      <c r="D26" s="298"/>
      <c r="E26" s="298"/>
      <c r="F26" s="310" t="n">
        <v>0</v>
      </c>
      <c r="G26" s="298"/>
      <c r="H26" s="319"/>
      <c r="I26" s="298"/>
      <c r="J26" s="326" t="str">
        <f aca="false">IF(SUM(C26,E26,G26,I26)&gt;1,"ERROR",IF(B26&gt;=1,B26*52,IF(D26&gt;=1,D26*26,IF(F26&gt;=1,F26*12,IF(H26&gt;=1,H26*4,"")))))</f>
        <v/>
      </c>
    </row>
    <row r="27" customFormat="false" ht="12.8" hidden="false" customHeight="false" outlineLevel="0" collapsed="false">
      <c r="B27" s="319"/>
      <c r="C27" s="298"/>
      <c r="D27" s="298"/>
      <c r="E27" s="298"/>
      <c r="F27" s="310"/>
      <c r="G27" s="298"/>
      <c r="H27" s="319"/>
      <c r="I27" s="298"/>
      <c r="J27" s="326"/>
    </row>
    <row r="28" customFormat="false" ht="12.8" hidden="false" customHeight="false" outlineLevel="0" collapsed="false">
      <c r="A28" s="327" t="s">
        <v>203</v>
      </c>
      <c r="B28" s="328" t="str">
        <f aca="false">IF(SUM(B22:B25),SUM(B22:B25),"")</f>
        <v/>
      </c>
      <c r="C28" s="329"/>
      <c r="D28" s="328" t="str">
        <f aca="false">IF(SUM(D22:D25),SUM(D22:D25),"")</f>
        <v/>
      </c>
      <c r="E28" s="329"/>
      <c r="F28" s="328" t="str">
        <f aca="false">IF(SUM(F22:F25),SUM(F22:F25),"")</f>
        <v/>
      </c>
      <c r="G28" s="329"/>
      <c r="H28" s="328" t="str">
        <f aca="false">IF(SUM(H22:H25),SUM(H22:H25),"")</f>
        <v/>
      </c>
      <c r="I28" s="329"/>
      <c r="J28" s="328" t="str">
        <f aca="false">IF(SUM(J22:J26),SUM(J22:J26),"")</f>
        <v/>
      </c>
      <c r="K28" s="329"/>
      <c r="L28" s="324"/>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c r="HV28" s="324"/>
      <c r="HW28" s="324"/>
      <c r="HX28" s="324"/>
      <c r="HY28" s="324"/>
      <c r="HZ28" s="324"/>
      <c r="IA28" s="324"/>
      <c r="IB28" s="324"/>
      <c r="IC28" s="324"/>
      <c r="ID28" s="324"/>
      <c r="IE28" s="324"/>
      <c r="IF28" s="324"/>
      <c r="IG28" s="324"/>
      <c r="IH28" s="324"/>
      <c r="II28" s="324"/>
      <c r="IJ28" s="324"/>
      <c r="IK28" s="324"/>
      <c r="IL28" s="324"/>
      <c r="IM28" s="324"/>
      <c r="IN28" s="324"/>
      <c r="IO28" s="324"/>
      <c r="IP28" s="324"/>
      <c r="IQ28" s="324"/>
      <c r="IR28" s="324"/>
      <c r="IS28" s="324"/>
      <c r="IT28" s="324"/>
      <c r="IU28" s="324"/>
      <c r="IV28" s="324"/>
      <c r="IW28" s="324"/>
      <c r="IX28" s="324"/>
      <c r="IY28" s="324"/>
      <c r="IZ28" s="324"/>
      <c r="JA28" s="324"/>
      <c r="JB28" s="324"/>
      <c r="JC28" s="324"/>
      <c r="JD28" s="324"/>
      <c r="JE28" s="324"/>
      <c r="JF28" s="324"/>
      <c r="JG28" s="324"/>
      <c r="JH28" s="324"/>
      <c r="JI28" s="324"/>
      <c r="JJ28" s="324"/>
      <c r="JK28" s="324"/>
      <c r="JL28" s="324"/>
      <c r="JM28" s="324"/>
      <c r="JN28" s="324"/>
      <c r="JO28" s="324"/>
      <c r="JP28" s="324"/>
      <c r="JQ28" s="324"/>
      <c r="JR28" s="324"/>
      <c r="JS28" s="324"/>
      <c r="JT28" s="324"/>
      <c r="JU28" s="324"/>
      <c r="JV28" s="324"/>
      <c r="JW28" s="324"/>
      <c r="JX28" s="324"/>
      <c r="JY28" s="324"/>
      <c r="JZ28" s="324"/>
      <c r="KA28" s="324"/>
      <c r="KB28" s="324"/>
      <c r="KC28" s="324"/>
      <c r="KD28" s="324"/>
      <c r="KE28" s="324"/>
      <c r="KF28" s="324"/>
      <c r="KG28" s="324"/>
      <c r="KH28" s="324"/>
      <c r="KI28" s="324"/>
      <c r="KJ28" s="324"/>
      <c r="KK28" s="324"/>
      <c r="KL28" s="324"/>
      <c r="KM28" s="324"/>
      <c r="KN28" s="324"/>
      <c r="KO28" s="324"/>
      <c r="KP28" s="324"/>
      <c r="KQ28" s="324"/>
      <c r="KR28" s="324"/>
      <c r="KS28" s="324"/>
      <c r="KT28" s="324"/>
      <c r="KU28" s="324"/>
      <c r="KV28" s="324"/>
      <c r="KW28" s="324"/>
      <c r="KX28" s="324"/>
      <c r="KY28" s="324"/>
      <c r="KZ28" s="324"/>
      <c r="LA28" s="324"/>
      <c r="LB28" s="324"/>
      <c r="LC28" s="324"/>
      <c r="LD28" s="324"/>
      <c r="LE28" s="324"/>
      <c r="LF28" s="324"/>
      <c r="LG28" s="324"/>
      <c r="LH28" s="324"/>
      <c r="LI28" s="324"/>
      <c r="LJ28" s="324"/>
      <c r="LK28" s="324"/>
      <c r="LL28" s="324"/>
      <c r="LM28" s="324"/>
      <c r="LN28" s="324"/>
      <c r="LO28" s="324"/>
      <c r="LP28" s="324"/>
      <c r="LQ28" s="324"/>
      <c r="LR28" s="324"/>
      <c r="LS28" s="324"/>
      <c r="LT28" s="324"/>
      <c r="LU28" s="324"/>
      <c r="LV28" s="324"/>
      <c r="LW28" s="324"/>
      <c r="LX28" s="324"/>
      <c r="LY28" s="324"/>
      <c r="LZ28" s="324"/>
      <c r="MA28" s="324"/>
      <c r="MB28" s="324"/>
      <c r="MC28" s="324"/>
      <c r="MD28" s="324"/>
      <c r="ME28" s="324"/>
      <c r="MF28" s="324"/>
      <c r="MG28" s="324"/>
      <c r="MH28" s="324"/>
      <c r="MI28" s="324"/>
      <c r="MJ28" s="324"/>
      <c r="MK28" s="324"/>
      <c r="ML28" s="324"/>
      <c r="MM28" s="324"/>
      <c r="MN28" s="324"/>
      <c r="MO28" s="324"/>
      <c r="MP28" s="324"/>
      <c r="MQ28" s="324"/>
      <c r="MR28" s="324"/>
      <c r="MS28" s="324"/>
      <c r="MT28" s="324"/>
      <c r="MU28" s="324"/>
      <c r="MV28" s="324"/>
      <c r="MW28" s="324"/>
      <c r="MX28" s="324"/>
      <c r="MY28" s="324"/>
      <c r="MZ28" s="324"/>
      <c r="NA28" s="324"/>
      <c r="NB28" s="324"/>
      <c r="NC28" s="324"/>
      <c r="ND28" s="324"/>
      <c r="NE28" s="324"/>
      <c r="NF28" s="324"/>
      <c r="NG28" s="324"/>
      <c r="NH28" s="324"/>
      <c r="NI28" s="324"/>
      <c r="NJ28" s="324"/>
      <c r="NK28" s="324"/>
      <c r="NL28" s="324"/>
      <c r="NM28" s="324"/>
      <c r="NN28" s="324"/>
      <c r="NO28" s="324"/>
      <c r="NP28" s="324"/>
      <c r="NQ28" s="324"/>
      <c r="NR28" s="324"/>
      <c r="NS28" s="324"/>
      <c r="NT28" s="324"/>
      <c r="NU28" s="324"/>
      <c r="NV28" s="324"/>
      <c r="NW28" s="324"/>
      <c r="NX28" s="324"/>
      <c r="NY28" s="324"/>
      <c r="NZ28" s="324"/>
      <c r="OA28" s="324"/>
      <c r="OB28" s="324"/>
      <c r="OC28" s="324"/>
      <c r="OD28" s="324"/>
      <c r="OE28" s="324"/>
      <c r="OF28" s="324"/>
      <c r="OG28" s="324"/>
      <c r="OH28" s="324"/>
      <c r="OI28" s="324"/>
      <c r="OJ28" s="324"/>
      <c r="OK28" s="324"/>
      <c r="OL28" s="324"/>
      <c r="OM28" s="324"/>
      <c r="ON28" s="324"/>
      <c r="OO28" s="324"/>
      <c r="OP28" s="324"/>
      <c r="OQ28" s="324"/>
      <c r="OR28" s="324"/>
      <c r="OS28" s="324"/>
      <c r="OT28" s="324"/>
      <c r="OU28" s="324"/>
      <c r="OV28" s="324"/>
      <c r="OW28" s="324"/>
      <c r="OX28" s="324"/>
      <c r="OY28" s="324"/>
      <c r="OZ28" s="324"/>
      <c r="PA28" s="324"/>
      <c r="PB28" s="324"/>
      <c r="PC28" s="324"/>
      <c r="PD28" s="324"/>
      <c r="PE28" s="324"/>
      <c r="PF28" s="324"/>
      <c r="PG28" s="324"/>
      <c r="PH28" s="324"/>
      <c r="PI28" s="324"/>
      <c r="PJ28" s="324"/>
      <c r="PK28" s="324"/>
      <c r="PL28" s="324"/>
      <c r="PM28" s="324"/>
      <c r="PN28" s="324"/>
      <c r="PO28" s="324"/>
      <c r="PP28" s="324"/>
      <c r="PQ28" s="324"/>
      <c r="PR28" s="324"/>
      <c r="PS28" s="324"/>
      <c r="PT28" s="324"/>
      <c r="PU28" s="324"/>
      <c r="PV28" s="324"/>
      <c r="PW28" s="324"/>
      <c r="PX28" s="324"/>
      <c r="PY28" s="324"/>
      <c r="PZ28" s="324"/>
      <c r="QA28" s="324"/>
      <c r="QB28" s="324"/>
      <c r="QC28" s="324"/>
      <c r="QD28" s="324"/>
      <c r="QE28" s="324"/>
      <c r="QF28" s="324"/>
      <c r="QG28" s="324"/>
      <c r="QH28" s="324"/>
      <c r="QI28" s="324"/>
      <c r="QJ28" s="324"/>
      <c r="QK28" s="324"/>
      <c r="QL28" s="324"/>
      <c r="QM28" s="324"/>
      <c r="QN28" s="324"/>
      <c r="QO28" s="324"/>
      <c r="QP28" s="324"/>
      <c r="QQ28" s="324"/>
      <c r="QR28" s="324"/>
      <c r="QS28" s="324"/>
      <c r="QT28" s="324"/>
      <c r="QU28" s="324"/>
      <c r="QV28" s="324"/>
      <c r="QW28" s="324"/>
      <c r="QX28" s="324"/>
      <c r="QY28" s="324"/>
      <c r="QZ28" s="324"/>
      <c r="RA28" s="324"/>
      <c r="RB28" s="324"/>
      <c r="RC28" s="324"/>
      <c r="RD28" s="324"/>
      <c r="RE28" s="324"/>
      <c r="RF28" s="324"/>
      <c r="RG28" s="324"/>
      <c r="RH28" s="324"/>
      <c r="RI28" s="324"/>
      <c r="RJ28" s="324"/>
      <c r="RK28" s="324"/>
      <c r="RL28" s="324"/>
      <c r="RM28" s="324"/>
      <c r="RN28" s="324"/>
      <c r="RO28" s="324"/>
      <c r="RP28" s="324"/>
      <c r="RQ28" s="324"/>
      <c r="RR28" s="324"/>
      <c r="RS28" s="324"/>
      <c r="RT28" s="324"/>
      <c r="RU28" s="324"/>
      <c r="RV28" s="324"/>
      <c r="RW28" s="324"/>
      <c r="RX28" s="324"/>
      <c r="RY28" s="324"/>
      <c r="RZ28" s="324"/>
      <c r="SA28" s="324"/>
      <c r="SB28" s="324"/>
      <c r="SC28" s="324"/>
      <c r="SD28" s="324"/>
      <c r="SE28" s="324"/>
      <c r="SF28" s="324"/>
      <c r="SG28" s="324"/>
      <c r="SH28" s="324"/>
      <c r="SI28" s="324"/>
      <c r="SJ28" s="324"/>
      <c r="SK28" s="324"/>
      <c r="SL28" s="324"/>
      <c r="SM28" s="324"/>
      <c r="SN28" s="324"/>
      <c r="SO28" s="324"/>
      <c r="SP28" s="324"/>
      <c r="SQ28" s="324"/>
      <c r="SR28" s="324"/>
      <c r="SS28" s="324"/>
      <c r="ST28" s="324"/>
      <c r="SU28" s="324"/>
      <c r="SV28" s="324"/>
      <c r="SW28" s="324"/>
      <c r="SX28" s="324"/>
      <c r="SY28" s="324"/>
      <c r="SZ28" s="324"/>
      <c r="TA28" s="324"/>
      <c r="TB28" s="324"/>
      <c r="TC28" s="324"/>
      <c r="TD28" s="324"/>
      <c r="TE28" s="324"/>
      <c r="TF28" s="324"/>
      <c r="TG28" s="324"/>
      <c r="TH28" s="324"/>
      <c r="TI28" s="324"/>
      <c r="TJ28" s="324"/>
      <c r="TK28" s="324"/>
      <c r="TL28" s="324"/>
      <c r="TM28" s="324"/>
      <c r="TN28" s="324"/>
      <c r="TO28" s="324"/>
      <c r="TP28" s="324"/>
      <c r="TQ28" s="324"/>
      <c r="TR28" s="324"/>
      <c r="TS28" s="324"/>
      <c r="TT28" s="324"/>
      <c r="TU28" s="324"/>
      <c r="TV28" s="324"/>
      <c r="TW28" s="324"/>
      <c r="TX28" s="324"/>
      <c r="TY28" s="324"/>
      <c r="TZ28" s="324"/>
      <c r="UA28" s="324"/>
      <c r="UB28" s="324"/>
      <c r="UC28" s="324"/>
      <c r="UD28" s="324"/>
      <c r="UE28" s="324"/>
      <c r="UF28" s="324"/>
      <c r="UG28" s="324"/>
      <c r="UH28" s="324"/>
      <c r="UI28" s="324"/>
      <c r="UJ28" s="324"/>
      <c r="UK28" s="324"/>
      <c r="UL28" s="324"/>
      <c r="UM28" s="324"/>
      <c r="UN28" s="324"/>
      <c r="UO28" s="324"/>
      <c r="UP28" s="324"/>
      <c r="UQ28" s="324"/>
      <c r="UR28" s="324"/>
      <c r="US28" s="324"/>
      <c r="UT28" s="324"/>
      <c r="UU28" s="324"/>
      <c r="UV28" s="324"/>
      <c r="UW28" s="324"/>
      <c r="UX28" s="324"/>
      <c r="UY28" s="324"/>
      <c r="UZ28" s="324"/>
      <c r="VA28" s="324"/>
      <c r="VB28" s="324"/>
      <c r="VC28" s="324"/>
      <c r="VD28" s="324"/>
      <c r="VE28" s="324"/>
      <c r="VF28" s="324"/>
      <c r="VG28" s="324"/>
      <c r="VH28" s="324"/>
      <c r="VI28" s="324"/>
      <c r="VJ28" s="324"/>
      <c r="VK28" s="324"/>
      <c r="VL28" s="324"/>
      <c r="VM28" s="324"/>
      <c r="VN28" s="324"/>
      <c r="VO28" s="324"/>
      <c r="VP28" s="324"/>
      <c r="VQ28" s="324"/>
      <c r="VR28" s="324"/>
      <c r="VS28" s="324"/>
      <c r="VT28" s="324"/>
      <c r="VU28" s="324"/>
      <c r="VV28" s="324"/>
      <c r="VW28" s="324"/>
      <c r="VX28" s="324"/>
      <c r="VY28" s="324"/>
      <c r="VZ28" s="324"/>
      <c r="WA28" s="324"/>
      <c r="WB28" s="324"/>
      <c r="WC28" s="324"/>
      <c r="WD28" s="324"/>
      <c r="WE28" s="324"/>
      <c r="WF28" s="324"/>
      <c r="WG28" s="324"/>
      <c r="WH28" s="324"/>
      <c r="WI28" s="324"/>
      <c r="WJ28" s="324"/>
      <c r="WK28" s="324"/>
      <c r="WL28" s="324"/>
      <c r="WM28" s="324"/>
      <c r="WN28" s="324"/>
      <c r="WO28" s="324"/>
      <c r="WP28" s="324"/>
      <c r="WQ28" s="324"/>
      <c r="WR28" s="324"/>
      <c r="WS28" s="324"/>
      <c r="WT28" s="324"/>
      <c r="WU28" s="324"/>
      <c r="WV28" s="324"/>
      <c r="WW28" s="324"/>
      <c r="WX28" s="324"/>
      <c r="WY28" s="324"/>
      <c r="WZ28" s="324"/>
      <c r="XA28" s="324"/>
      <c r="XB28" s="324"/>
      <c r="XC28" s="324"/>
      <c r="XD28" s="324"/>
      <c r="XE28" s="324"/>
      <c r="XF28" s="324"/>
      <c r="XG28" s="324"/>
      <c r="XH28" s="324"/>
      <c r="XI28" s="324"/>
      <c r="XJ28" s="324"/>
      <c r="XK28" s="324"/>
      <c r="XL28" s="324"/>
      <c r="XM28" s="324"/>
      <c r="XN28" s="324"/>
      <c r="XO28" s="324"/>
      <c r="XP28" s="324"/>
      <c r="XQ28" s="324"/>
      <c r="XR28" s="324"/>
      <c r="XS28" s="324"/>
      <c r="XT28" s="324"/>
      <c r="XU28" s="324"/>
      <c r="XV28" s="324"/>
      <c r="XW28" s="324"/>
      <c r="XX28" s="324"/>
      <c r="XY28" s="324"/>
      <c r="XZ28" s="324"/>
      <c r="YA28" s="324"/>
      <c r="YB28" s="324"/>
      <c r="YC28" s="324"/>
      <c r="YD28" s="324"/>
      <c r="YE28" s="324"/>
      <c r="YF28" s="324"/>
      <c r="YG28" s="324"/>
      <c r="YH28" s="324"/>
      <c r="YI28" s="324"/>
      <c r="YJ28" s="324"/>
      <c r="YK28" s="324"/>
      <c r="YL28" s="324"/>
      <c r="YM28" s="324"/>
      <c r="YN28" s="324"/>
      <c r="YO28" s="324"/>
      <c r="YP28" s="324"/>
      <c r="YQ28" s="324"/>
      <c r="YR28" s="324"/>
      <c r="YS28" s="324"/>
      <c r="YT28" s="324"/>
      <c r="YU28" s="324"/>
      <c r="YV28" s="324"/>
      <c r="YW28" s="324"/>
      <c r="YX28" s="324"/>
      <c r="YY28" s="324"/>
      <c r="YZ28" s="324"/>
      <c r="ZA28" s="324"/>
      <c r="ZB28" s="324"/>
      <c r="ZC28" s="324"/>
      <c r="ZD28" s="324"/>
      <c r="ZE28" s="324"/>
      <c r="ZF28" s="324"/>
      <c r="ZG28" s="324"/>
      <c r="ZH28" s="324"/>
      <c r="ZI28" s="324"/>
      <c r="ZJ28" s="324"/>
      <c r="ZK28" s="324"/>
      <c r="ZL28" s="324"/>
      <c r="ZM28" s="324"/>
      <c r="ZN28" s="324"/>
      <c r="ZO28" s="324"/>
      <c r="ZP28" s="324"/>
      <c r="ZQ28" s="324"/>
      <c r="ZR28" s="324"/>
      <c r="ZS28" s="324"/>
      <c r="ZT28" s="324"/>
      <c r="ZU28" s="324"/>
      <c r="ZV28" s="324"/>
      <c r="ZW28" s="324"/>
      <c r="ZX28" s="324"/>
      <c r="ZY28" s="324"/>
      <c r="ZZ28" s="324"/>
      <c r="AAA28" s="324"/>
      <c r="AAB28" s="324"/>
      <c r="AAC28" s="324"/>
      <c r="AAD28" s="324"/>
      <c r="AAE28" s="324"/>
      <c r="AAF28" s="324"/>
      <c r="AAG28" s="324"/>
      <c r="AAH28" s="324"/>
      <c r="AAI28" s="324"/>
      <c r="AAJ28" s="324"/>
      <c r="AAK28" s="324"/>
      <c r="AAL28" s="324"/>
      <c r="AAM28" s="324"/>
      <c r="AAN28" s="324"/>
      <c r="AAO28" s="324"/>
      <c r="AAP28" s="324"/>
      <c r="AAQ28" s="324"/>
      <c r="AAR28" s="324"/>
      <c r="AAS28" s="324"/>
      <c r="AAT28" s="324"/>
      <c r="AAU28" s="324"/>
      <c r="AAV28" s="324"/>
      <c r="AAW28" s="324"/>
      <c r="AAX28" s="324"/>
      <c r="AAY28" s="324"/>
      <c r="AAZ28" s="324"/>
      <c r="ABA28" s="324"/>
      <c r="ABB28" s="324"/>
      <c r="ABC28" s="324"/>
      <c r="ABD28" s="324"/>
      <c r="ABE28" s="324"/>
      <c r="ABF28" s="324"/>
      <c r="ABG28" s="324"/>
      <c r="ABH28" s="324"/>
      <c r="ABI28" s="324"/>
      <c r="ABJ28" s="324"/>
      <c r="ABK28" s="324"/>
      <c r="ABL28" s="324"/>
      <c r="ABM28" s="324"/>
      <c r="ABN28" s="324"/>
      <c r="ABO28" s="324"/>
      <c r="ABP28" s="324"/>
      <c r="ABQ28" s="324"/>
      <c r="ABR28" s="324"/>
      <c r="ABS28" s="324"/>
      <c r="ABT28" s="324"/>
      <c r="ABU28" s="324"/>
      <c r="ABV28" s="324"/>
      <c r="ABW28" s="324"/>
      <c r="ABX28" s="324"/>
      <c r="ABY28" s="324"/>
      <c r="ABZ28" s="324"/>
      <c r="ACA28" s="324"/>
      <c r="ACB28" s="324"/>
      <c r="ACC28" s="324"/>
      <c r="ACD28" s="324"/>
      <c r="ACE28" s="324"/>
      <c r="ACF28" s="324"/>
      <c r="ACG28" s="324"/>
      <c r="ACH28" s="324"/>
      <c r="ACI28" s="324"/>
      <c r="ACJ28" s="324"/>
      <c r="ACK28" s="324"/>
      <c r="ACL28" s="324"/>
      <c r="ACM28" s="324"/>
      <c r="ACN28" s="324"/>
      <c r="ACO28" s="324"/>
      <c r="ACP28" s="324"/>
      <c r="ACQ28" s="324"/>
      <c r="ACR28" s="324"/>
      <c r="ACS28" s="324"/>
      <c r="ACT28" s="324"/>
      <c r="ACU28" s="324"/>
      <c r="ACV28" s="324"/>
      <c r="ACW28" s="324"/>
      <c r="ACX28" s="324"/>
      <c r="ACY28" s="324"/>
      <c r="ACZ28" s="324"/>
      <c r="ADA28" s="324"/>
      <c r="ADB28" s="324"/>
      <c r="ADC28" s="324"/>
      <c r="ADD28" s="324"/>
      <c r="ADE28" s="324"/>
      <c r="ADF28" s="324"/>
      <c r="ADG28" s="324"/>
      <c r="ADH28" s="324"/>
      <c r="ADI28" s="324"/>
      <c r="ADJ28" s="324"/>
      <c r="ADK28" s="324"/>
      <c r="ADL28" s="324"/>
      <c r="ADM28" s="324"/>
      <c r="ADN28" s="324"/>
      <c r="ADO28" s="324"/>
      <c r="ADP28" s="324"/>
      <c r="ADQ28" s="324"/>
      <c r="ADR28" s="324"/>
      <c r="ADS28" s="324"/>
      <c r="ADT28" s="324"/>
      <c r="ADU28" s="324"/>
      <c r="ADV28" s="324"/>
      <c r="ADW28" s="324"/>
      <c r="ADX28" s="324"/>
      <c r="ADY28" s="324"/>
      <c r="ADZ28" s="324"/>
      <c r="AEA28" s="324"/>
      <c r="AEB28" s="324"/>
      <c r="AEC28" s="324"/>
      <c r="AED28" s="324"/>
      <c r="AEE28" s="324"/>
      <c r="AEF28" s="324"/>
      <c r="AEG28" s="324"/>
      <c r="AEH28" s="324"/>
      <c r="AEI28" s="324"/>
      <c r="AEJ28" s="324"/>
      <c r="AEK28" s="324"/>
      <c r="AEL28" s="324"/>
      <c r="AEM28" s="324"/>
      <c r="AEN28" s="324"/>
      <c r="AEO28" s="324"/>
      <c r="AEP28" s="324"/>
      <c r="AEQ28" s="324"/>
      <c r="AER28" s="324"/>
      <c r="AES28" s="324"/>
      <c r="AET28" s="324"/>
      <c r="AEU28" s="324"/>
      <c r="AEV28" s="324"/>
      <c r="AEW28" s="324"/>
      <c r="AEX28" s="324"/>
      <c r="AEY28" s="324"/>
      <c r="AEZ28" s="324"/>
      <c r="AFA28" s="324"/>
      <c r="AFB28" s="324"/>
      <c r="AFC28" s="324"/>
      <c r="AFD28" s="324"/>
      <c r="AFE28" s="324"/>
      <c r="AFF28" s="324"/>
      <c r="AFG28" s="324"/>
      <c r="AFH28" s="324"/>
      <c r="AFI28" s="324"/>
      <c r="AFJ28" s="324"/>
      <c r="AFK28" s="324"/>
      <c r="AFL28" s="324"/>
      <c r="AFM28" s="324"/>
      <c r="AFN28" s="324"/>
      <c r="AFO28" s="324"/>
      <c r="AFP28" s="324"/>
      <c r="AFQ28" s="324"/>
      <c r="AFR28" s="324"/>
      <c r="AFS28" s="324"/>
      <c r="AFT28" s="324"/>
      <c r="AFU28" s="324"/>
      <c r="AFV28" s="324"/>
      <c r="AFW28" s="324"/>
      <c r="AFX28" s="324"/>
      <c r="AFY28" s="324"/>
      <c r="AFZ28" s="324"/>
      <c r="AGA28" s="324"/>
      <c r="AGB28" s="324"/>
      <c r="AGC28" s="324"/>
      <c r="AGD28" s="324"/>
      <c r="AGE28" s="324"/>
      <c r="AGF28" s="324"/>
      <c r="AGG28" s="324"/>
      <c r="AGH28" s="324"/>
      <c r="AGI28" s="324"/>
      <c r="AGJ28" s="324"/>
      <c r="AGK28" s="324"/>
      <c r="AGL28" s="324"/>
      <c r="AGM28" s="324"/>
      <c r="AGN28" s="324"/>
      <c r="AGO28" s="324"/>
      <c r="AGP28" s="324"/>
      <c r="AGQ28" s="324"/>
      <c r="AGR28" s="324"/>
      <c r="AGS28" s="324"/>
      <c r="AGT28" s="324"/>
      <c r="AGU28" s="324"/>
      <c r="AGV28" s="324"/>
      <c r="AGW28" s="324"/>
      <c r="AGX28" s="324"/>
      <c r="AGY28" s="324"/>
      <c r="AGZ28" s="324"/>
      <c r="AHA28" s="324"/>
      <c r="AHB28" s="324"/>
      <c r="AHC28" s="324"/>
      <c r="AHD28" s="324"/>
      <c r="AHE28" s="324"/>
      <c r="AHF28" s="324"/>
      <c r="AHG28" s="324"/>
      <c r="AHH28" s="324"/>
      <c r="AHI28" s="324"/>
      <c r="AHJ28" s="324"/>
      <c r="AHK28" s="324"/>
      <c r="AHL28" s="324"/>
      <c r="AHM28" s="324"/>
      <c r="AHN28" s="324"/>
      <c r="AHO28" s="324"/>
      <c r="AHP28" s="324"/>
      <c r="AHQ28" s="324"/>
      <c r="AHR28" s="324"/>
      <c r="AHS28" s="324"/>
      <c r="AHT28" s="324"/>
      <c r="AHU28" s="324"/>
      <c r="AHV28" s="324"/>
      <c r="AHW28" s="324"/>
      <c r="AHX28" s="324"/>
      <c r="AHY28" s="324"/>
      <c r="AHZ28" s="324"/>
      <c r="AIA28" s="324"/>
      <c r="AIB28" s="324"/>
      <c r="AIC28" s="324"/>
      <c r="AID28" s="324"/>
      <c r="AIE28" s="324"/>
      <c r="AIF28" s="324"/>
      <c r="AIG28" s="324"/>
      <c r="AIH28" s="324"/>
      <c r="AII28" s="324"/>
      <c r="AIJ28" s="324"/>
      <c r="AIK28" s="324"/>
      <c r="AIL28" s="324"/>
      <c r="AIM28" s="324"/>
      <c r="AIN28" s="324"/>
      <c r="AIO28" s="324"/>
      <c r="AIP28" s="324"/>
      <c r="AIQ28" s="324"/>
      <c r="AIR28" s="324"/>
      <c r="AIS28" s="324"/>
      <c r="AIT28" s="324"/>
      <c r="AIU28" s="324"/>
      <c r="AIV28" s="324"/>
      <c r="AIW28" s="324"/>
      <c r="AIX28" s="324"/>
      <c r="AIY28" s="324"/>
      <c r="AIZ28" s="324"/>
      <c r="AJA28" s="324"/>
      <c r="AJB28" s="324"/>
      <c r="AJC28" s="324"/>
      <c r="AJD28" s="324"/>
      <c r="AJE28" s="324"/>
      <c r="AJF28" s="324"/>
      <c r="AJG28" s="324"/>
      <c r="AJH28" s="324"/>
      <c r="AJI28" s="324"/>
      <c r="AJJ28" s="324"/>
      <c r="AJK28" s="324"/>
      <c r="AJL28" s="324"/>
      <c r="AJM28" s="324"/>
      <c r="AJN28" s="324"/>
      <c r="AJO28" s="324"/>
      <c r="AJP28" s="324"/>
      <c r="AJQ28" s="324"/>
      <c r="AJR28" s="324"/>
      <c r="AJS28" s="324"/>
      <c r="AJT28" s="324"/>
      <c r="AJU28" s="324"/>
      <c r="AJV28" s="324"/>
      <c r="AJW28" s="324"/>
      <c r="AJX28" s="324"/>
      <c r="AJY28" s="324"/>
      <c r="AJZ28" s="324"/>
      <c r="AKA28" s="324"/>
      <c r="AKB28" s="324"/>
      <c r="AKC28" s="324"/>
      <c r="AKD28" s="324"/>
      <c r="AKE28" s="324"/>
      <c r="AKF28" s="324"/>
      <c r="AKG28" s="324"/>
      <c r="AKH28" s="324"/>
      <c r="AKI28" s="324"/>
      <c r="AKJ28" s="324"/>
      <c r="AKK28" s="324"/>
      <c r="AKL28" s="324"/>
      <c r="AKM28" s="324"/>
      <c r="AKN28" s="324"/>
      <c r="AKO28" s="324"/>
      <c r="AKP28" s="324"/>
      <c r="AKQ28" s="324"/>
      <c r="AKR28" s="324"/>
      <c r="AKS28" s="324"/>
      <c r="AKT28" s="324"/>
      <c r="AKU28" s="324"/>
      <c r="AKV28" s="324"/>
      <c r="AKW28" s="324"/>
      <c r="AKX28" s="324"/>
      <c r="AKY28" s="324"/>
      <c r="AKZ28" s="324"/>
      <c r="ALA28" s="324"/>
      <c r="ALB28" s="324"/>
      <c r="ALC28" s="324"/>
      <c r="ALD28" s="324"/>
      <c r="ALE28" s="324"/>
      <c r="ALF28" s="324"/>
      <c r="ALG28" s="324"/>
      <c r="ALH28" s="324"/>
      <c r="ALI28" s="324"/>
      <c r="ALJ28" s="324"/>
      <c r="ALK28" s="324"/>
      <c r="ALL28" s="324"/>
      <c r="ALM28" s="324"/>
      <c r="ALN28" s="324"/>
      <c r="ALO28" s="324"/>
      <c r="ALP28" s="324"/>
      <c r="ALQ28" s="324"/>
      <c r="ALR28" s="324"/>
      <c r="ALS28" s="324"/>
      <c r="ALT28" s="324"/>
      <c r="ALU28" s="324"/>
      <c r="ALV28" s="324"/>
      <c r="ALW28" s="324"/>
      <c r="ALX28" s="324"/>
      <c r="ALY28" s="324"/>
      <c r="ALZ28" s="324"/>
      <c r="AMA28" s="324"/>
      <c r="AMB28" s="324"/>
      <c r="AMC28" s="324"/>
      <c r="AMD28" s="324"/>
      <c r="AME28" s="324"/>
      <c r="AMF28" s="324"/>
      <c r="AMG28" s="324"/>
      <c r="AMH28" s="324"/>
      <c r="AMI28" s="324"/>
      <c r="AMJ28" s="324"/>
    </row>
    <row r="30" customFormat="false" ht="12.8" hidden="false" customHeight="false" outlineLevel="0" collapsed="false">
      <c r="A30" s="294" t="s">
        <v>210</v>
      </c>
      <c r="B30" s="295"/>
      <c r="C30" s="295"/>
      <c r="D30" s="295"/>
      <c r="E30" s="295"/>
      <c r="F30" s="295"/>
      <c r="G30" s="295"/>
      <c r="H30" s="295"/>
      <c r="I30" s="295"/>
      <c r="J30" s="295"/>
      <c r="K30" s="295"/>
      <c r="L30" s="296"/>
      <c r="M30" s="296"/>
      <c r="N30" s="296"/>
      <c r="O30" s="296"/>
      <c r="P30" s="296"/>
      <c r="Q30" s="296"/>
      <c r="R30" s="296"/>
      <c r="S30" s="296"/>
      <c r="T30" s="296"/>
      <c r="U30" s="296"/>
      <c r="V30" s="296"/>
      <c r="W30" s="296"/>
      <c r="X30" s="296"/>
      <c r="Y30" s="296"/>
      <c r="Z30" s="296"/>
      <c r="AA30" s="296"/>
      <c r="AB30" s="296"/>
      <c r="AC30" s="296"/>
      <c r="AD30" s="296"/>
      <c r="AE30" s="296"/>
      <c r="AF30" s="296"/>
      <c r="AG30" s="296"/>
      <c r="AH30" s="296"/>
      <c r="AI30" s="296"/>
      <c r="AJ30" s="296"/>
      <c r="AK30" s="296"/>
      <c r="AL30" s="296"/>
      <c r="AM30" s="296"/>
      <c r="AN30" s="296"/>
      <c r="AO30" s="296"/>
      <c r="AP30" s="296"/>
      <c r="AQ30" s="296"/>
      <c r="AR30" s="296"/>
      <c r="AS30" s="296"/>
      <c r="AT30" s="296"/>
      <c r="AU30" s="296"/>
      <c r="AV30" s="296"/>
      <c r="AW30" s="296"/>
      <c r="AX30" s="296"/>
      <c r="AY30" s="296"/>
      <c r="AZ30" s="296"/>
      <c r="BA30" s="296"/>
      <c r="BB30" s="296"/>
      <c r="BC30" s="296"/>
      <c r="BD30" s="296"/>
      <c r="BE30" s="296"/>
      <c r="BF30" s="296"/>
      <c r="BG30" s="296"/>
      <c r="BH30" s="296"/>
      <c r="BI30" s="296"/>
      <c r="BJ30" s="296"/>
      <c r="BK30" s="296"/>
      <c r="BL30" s="296"/>
      <c r="BM30" s="296"/>
      <c r="BN30" s="296"/>
      <c r="BO30" s="296"/>
      <c r="BP30" s="296"/>
      <c r="BQ30" s="296"/>
      <c r="BR30" s="296"/>
      <c r="BS30" s="296"/>
      <c r="BT30" s="296"/>
      <c r="BU30" s="296"/>
      <c r="BV30" s="296"/>
      <c r="BW30" s="296"/>
      <c r="BX30" s="296"/>
      <c r="BY30" s="296"/>
      <c r="BZ30" s="296"/>
      <c r="CA30" s="296"/>
      <c r="CB30" s="296"/>
      <c r="CC30" s="296"/>
      <c r="CD30" s="296"/>
      <c r="CE30" s="296"/>
      <c r="CF30" s="296"/>
      <c r="CG30" s="296"/>
      <c r="CH30" s="296"/>
      <c r="CI30" s="296"/>
      <c r="CJ30" s="296"/>
      <c r="CK30" s="296"/>
      <c r="CL30" s="296"/>
      <c r="CM30" s="296"/>
      <c r="CN30" s="296"/>
      <c r="CO30" s="296"/>
      <c r="CP30" s="296"/>
      <c r="CQ30" s="296"/>
      <c r="CR30" s="296"/>
      <c r="CS30" s="296"/>
      <c r="CT30" s="296"/>
      <c r="CU30" s="296"/>
      <c r="CV30" s="296"/>
      <c r="CW30" s="296"/>
      <c r="CX30" s="296"/>
      <c r="CY30" s="296"/>
      <c r="CZ30" s="296"/>
      <c r="DA30" s="296"/>
      <c r="DB30" s="296"/>
      <c r="DC30" s="296"/>
      <c r="DD30" s="296"/>
      <c r="DE30" s="296"/>
      <c r="DF30" s="296"/>
      <c r="DG30" s="296"/>
      <c r="DH30" s="296"/>
      <c r="DI30" s="296"/>
      <c r="DJ30" s="296"/>
      <c r="DK30" s="296"/>
      <c r="DL30" s="296"/>
      <c r="DM30" s="296"/>
      <c r="DN30" s="296"/>
      <c r="DO30" s="296"/>
      <c r="DP30" s="296"/>
      <c r="DQ30" s="296"/>
      <c r="DR30" s="296"/>
      <c r="DS30" s="296"/>
      <c r="DT30" s="296"/>
      <c r="DU30" s="296"/>
      <c r="DV30" s="296"/>
      <c r="DW30" s="296"/>
      <c r="DX30" s="296"/>
      <c r="DY30" s="296"/>
      <c r="DZ30" s="296"/>
      <c r="EA30" s="296"/>
      <c r="EB30" s="296"/>
      <c r="EC30" s="296"/>
      <c r="ED30" s="296"/>
      <c r="EE30" s="296"/>
      <c r="EF30" s="296"/>
      <c r="EG30" s="296"/>
      <c r="EH30" s="296"/>
      <c r="EI30" s="296"/>
      <c r="EJ30" s="296"/>
      <c r="EK30" s="296"/>
      <c r="EL30" s="296"/>
      <c r="EM30" s="296"/>
      <c r="EN30" s="296"/>
      <c r="EO30" s="296"/>
      <c r="EP30" s="296"/>
      <c r="EQ30" s="296"/>
      <c r="ER30" s="296"/>
      <c r="ES30" s="296"/>
      <c r="ET30" s="296"/>
      <c r="EU30" s="296"/>
      <c r="EV30" s="296"/>
      <c r="EW30" s="296"/>
      <c r="EX30" s="296"/>
      <c r="EY30" s="296"/>
      <c r="EZ30" s="296"/>
      <c r="FA30" s="296"/>
      <c r="FB30" s="296"/>
      <c r="FC30" s="296"/>
      <c r="FD30" s="296"/>
      <c r="FE30" s="296"/>
      <c r="FF30" s="296"/>
      <c r="FG30" s="296"/>
      <c r="FH30" s="296"/>
      <c r="FI30" s="296"/>
      <c r="FJ30" s="296"/>
      <c r="FK30" s="296"/>
      <c r="FL30" s="296"/>
      <c r="FM30" s="296"/>
      <c r="FN30" s="296"/>
      <c r="FO30" s="296"/>
      <c r="FP30" s="296"/>
      <c r="FQ30" s="296"/>
      <c r="FR30" s="296"/>
      <c r="FS30" s="296"/>
      <c r="FT30" s="296"/>
      <c r="FU30" s="296"/>
      <c r="FV30" s="296"/>
      <c r="FW30" s="296"/>
      <c r="FX30" s="296"/>
      <c r="FY30" s="296"/>
      <c r="FZ30" s="296"/>
      <c r="GA30" s="296"/>
      <c r="GB30" s="296"/>
      <c r="GC30" s="296"/>
      <c r="GD30" s="296"/>
      <c r="GE30" s="296"/>
      <c r="GF30" s="296"/>
      <c r="GG30" s="296"/>
      <c r="GH30" s="296"/>
      <c r="GI30" s="296"/>
      <c r="GJ30" s="296"/>
      <c r="GK30" s="296"/>
      <c r="GL30" s="296"/>
      <c r="GM30" s="296"/>
      <c r="GN30" s="296"/>
      <c r="GO30" s="296"/>
      <c r="GP30" s="296"/>
      <c r="GQ30" s="296"/>
      <c r="GR30" s="296"/>
      <c r="GS30" s="296"/>
      <c r="GT30" s="296"/>
      <c r="GU30" s="296"/>
      <c r="GV30" s="296"/>
      <c r="GW30" s="296"/>
      <c r="GX30" s="296"/>
      <c r="GY30" s="296"/>
      <c r="GZ30" s="296"/>
      <c r="HA30" s="296"/>
      <c r="HB30" s="296"/>
      <c r="HC30" s="296"/>
      <c r="HD30" s="296"/>
      <c r="HE30" s="296"/>
      <c r="HF30" s="296"/>
      <c r="HG30" s="296"/>
      <c r="HH30" s="296"/>
      <c r="HI30" s="296"/>
      <c r="HJ30" s="296"/>
      <c r="HK30" s="296"/>
      <c r="HL30" s="296"/>
      <c r="HM30" s="296"/>
      <c r="HN30" s="296"/>
      <c r="HO30" s="296"/>
      <c r="HP30" s="296"/>
      <c r="HQ30" s="296"/>
      <c r="HR30" s="296"/>
      <c r="HS30" s="296"/>
      <c r="HT30" s="296"/>
      <c r="HU30" s="296"/>
      <c r="HV30" s="296"/>
      <c r="HW30" s="296"/>
      <c r="HX30" s="296"/>
      <c r="HY30" s="296"/>
      <c r="HZ30" s="296"/>
      <c r="IA30" s="296"/>
      <c r="IB30" s="296"/>
      <c r="IC30" s="296"/>
      <c r="ID30" s="296"/>
      <c r="IE30" s="296"/>
      <c r="IF30" s="296"/>
      <c r="IG30" s="296"/>
      <c r="IH30" s="296"/>
      <c r="II30" s="296"/>
      <c r="IJ30" s="296"/>
      <c r="IK30" s="296"/>
      <c r="IL30" s="296"/>
      <c r="IM30" s="296"/>
      <c r="IN30" s="296"/>
      <c r="IO30" s="296"/>
      <c r="IP30" s="296"/>
      <c r="IQ30" s="296"/>
      <c r="IR30" s="296"/>
      <c r="IS30" s="296"/>
      <c r="IT30" s="296"/>
      <c r="IU30" s="296"/>
      <c r="IV30" s="296"/>
      <c r="IW30" s="296"/>
      <c r="IX30" s="296"/>
      <c r="IY30" s="296"/>
      <c r="IZ30" s="296"/>
      <c r="JA30" s="296"/>
      <c r="JB30" s="296"/>
      <c r="JC30" s="296"/>
      <c r="JD30" s="296"/>
      <c r="JE30" s="296"/>
      <c r="JF30" s="296"/>
      <c r="JG30" s="296"/>
      <c r="JH30" s="296"/>
      <c r="JI30" s="296"/>
      <c r="JJ30" s="296"/>
      <c r="JK30" s="296"/>
      <c r="JL30" s="296"/>
      <c r="JM30" s="296"/>
      <c r="JN30" s="296"/>
      <c r="JO30" s="296"/>
      <c r="JP30" s="296"/>
      <c r="JQ30" s="296"/>
      <c r="JR30" s="296"/>
      <c r="JS30" s="296"/>
      <c r="JT30" s="296"/>
      <c r="JU30" s="296"/>
      <c r="JV30" s="296"/>
      <c r="JW30" s="296"/>
      <c r="JX30" s="296"/>
      <c r="JY30" s="296"/>
      <c r="JZ30" s="296"/>
      <c r="KA30" s="296"/>
      <c r="KB30" s="296"/>
      <c r="KC30" s="296"/>
      <c r="KD30" s="296"/>
      <c r="KE30" s="296"/>
      <c r="KF30" s="296"/>
      <c r="KG30" s="296"/>
      <c r="KH30" s="296"/>
      <c r="KI30" s="296"/>
      <c r="KJ30" s="296"/>
      <c r="KK30" s="296"/>
      <c r="KL30" s="296"/>
      <c r="KM30" s="296"/>
      <c r="KN30" s="296"/>
      <c r="KO30" s="296"/>
      <c r="KP30" s="296"/>
      <c r="KQ30" s="296"/>
      <c r="KR30" s="296"/>
      <c r="KS30" s="296"/>
      <c r="KT30" s="296"/>
      <c r="KU30" s="296"/>
      <c r="KV30" s="296"/>
      <c r="KW30" s="296"/>
      <c r="KX30" s="296"/>
      <c r="KY30" s="296"/>
      <c r="KZ30" s="296"/>
      <c r="LA30" s="296"/>
      <c r="LB30" s="296"/>
      <c r="LC30" s="296"/>
      <c r="LD30" s="296"/>
      <c r="LE30" s="296"/>
      <c r="LF30" s="296"/>
      <c r="LG30" s="296"/>
      <c r="LH30" s="296"/>
      <c r="LI30" s="296"/>
      <c r="LJ30" s="296"/>
      <c r="LK30" s="296"/>
      <c r="LL30" s="296"/>
      <c r="LM30" s="296"/>
      <c r="LN30" s="296"/>
      <c r="LO30" s="296"/>
      <c r="LP30" s="296"/>
      <c r="LQ30" s="296"/>
      <c r="LR30" s="296"/>
      <c r="LS30" s="296"/>
      <c r="LT30" s="296"/>
      <c r="LU30" s="296"/>
      <c r="LV30" s="296"/>
      <c r="LW30" s="296"/>
      <c r="LX30" s="296"/>
      <c r="LY30" s="296"/>
      <c r="LZ30" s="296"/>
      <c r="MA30" s="296"/>
      <c r="MB30" s="296"/>
      <c r="MC30" s="296"/>
      <c r="MD30" s="296"/>
      <c r="ME30" s="296"/>
      <c r="MF30" s="296"/>
      <c r="MG30" s="296"/>
      <c r="MH30" s="296"/>
      <c r="MI30" s="296"/>
      <c r="MJ30" s="296"/>
      <c r="MK30" s="296"/>
      <c r="ML30" s="296"/>
      <c r="MM30" s="296"/>
      <c r="MN30" s="296"/>
      <c r="MO30" s="296"/>
      <c r="MP30" s="296"/>
      <c r="MQ30" s="296"/>
      <c r="MR30" s="296"/>
      <c r="MS30" s="296"/>
      <c r="MT30" s="296"/>
      <c r="MU30" s="296"/>
      <c r="MV30" s="296"/>
      <c r="MW30" s="296"/>
      <c r="MX30" s="296"/>
      <c r="MY30" s="296"/>
      <c r="MZ30" s="296"/>
      <c r="NA30" s="296"/>
      <c r="NB30" s="296"/>
      <c r="NC30" s="296"/>
      <c r="ND30" s="296"/>
      <c r="NE30" s="296"/>
      <c r="NF30" s="296"/>
      <c r="NG30" s="296"/>
      <c r="NH30" s="296"/>
      <c r="NI30" s="296"/>
      <c r="NJ30" s="296"/>
      <c r="NK30" s="296"/>
      <c r="NL30" s="296"/>
      <c r="NM30" s="296"/>
      <c r="NN30" s="296"/>
      <c r="NO30" s="296"/>
      <c r="NP30" s="296"/>
      <c r="NQ30" s="296"/>
      <c r="NR30" s="296"/>
      <c r="NS30" s="296"/>
      <c r="NT30" s="296"/>
      <c r="NU30" s="296"/>
      <c r="NV30" s="296"/>
      <c r="NW30" s="296"/>
      <c r="NX30" s="296"/>
      <c r="NY30" s="296"/>
      <c r="NZ30" s="296"/>
      <c r="OA30" s="296"/>
      <c r="OB30" s="296"/>
      <c r="OC30" s="296"/>
      <c r="OD30" s="296"/>
      <c r="OE30" s="296"/>
      <c r="OF30" s="296"/>
      <c r="OG30" s="296"/>
      <c r="OH30" s="296"/>
      <c r="OI30" s="296"/>
      <c r="OJ30" s="296"/>
      <c r="OK30" s="296"/>
      <c r="OL30" s="296"/>
      <c r="OM30" s="296"/>
      <c r="ON30" s="296"/>
      <c r="OO30" s="296"/>
      <c r="OP30" s="296"/>
      <c r="OQ30" s="296"/>
      <c r="OR30" s="296"/>
      <c r="OS30" s="296"/>
      <c r="OT30" s="296"/>
      <c r="OU30" s="296"/>
      <c r="OV30" s="296"/>
      <c r="OW30" s="296"/>
      <c r="OX30" s="296"/>
      <c r="OY30" s="296"/>
      <c r="OZ30" s="296"/>
      <c r="PA30" s="296"/>
      <c r="PB30" s="296"/>
      <c r="PC30" s="296"/>
      <c r="PD30" s="296"/>
      <c r="PE30" s="296"/>
      <c r="PF30" s="296"/>
      <c r="PG30" s="296"/>
      <c r="PH30" s="296"/>
      <c r="PI30" s="296"/>
      <c r="PJ30" s="296"/>
      <c r="PK30" s="296"/>
      <c r="PL30" s="296"/>
      <c r="PM30" s="296"/>
      <c r="PN30" s="296"/>
      <c r="PO30" s="296"/>
      <c r="PP30" s="296"/>
      <c r="PQ30" s="296"/>
      <c r="PR30" s="296"/>
      <c r="PS30" s="296"/>
      <c r="PT30" s="296"/>
      <c r="PU30" s="296"/>
      <c r="PV30" s="296"/>
      <c r="PW30" s="296"/>
      <c r="PX30" s="296"/>
      <c r="PY30" s="296"/>
      <c r="PZ30" s="296"/>
      <c r="QA30" s="296"/>
      <c r="QB30" s="296"/>
      <c r="QC30" s="296"/>
      <c r="QD30" s="296"/>
      <c r="QE30" s="296"/>
      <c r="QF30" s="296"/>
      <c r="QG30" s="296"/>
      <c r="QH30" s="296"/>
      <c r="QI30" s="296"/>
      <c r="QJ30" s="296"/>
      <c r="QK30" s="296"/>
      <c r="QL30" s="296"/>
      <c r="QM30" s="296"/>
      <c r="QN30" s="296"/>
      <c r="QO30" s="296"/>
      <c r="QP30" s="296"/>
      <c r="QQ30" s="296"/>
      <c r="QR30" s="296"/>
      <c r="QS30" s="296"/>
      <c r="QT30" s="296"/>
      <c r="QU30" s="296"/>
      <c r="QV30" s="296"/>
      <c r="QW30" s="296"/>
      <c r="QX30" s="296"/>
      <c r="QY30" s="296"/>
      <c r="QZ30" s="296"/>
      <c r="RA30" s="296"/>
      <c r="RB30" s="296"/>
      <c r="RC30" s="296"/>
      <c r="RD30" s="296"/>
      <c r="RE30" s="296"/>
      <c r="RF30" s="296"/>
      <c r="RG30" s="296"/>
      <c r="RH30" s="296"/>
      <c r="RI30" s="296"/>
      <c r="RJ30" s="296"/>
      <c r="RK30" s="296"/>
      <c r="RL30" s="296"/>
      <c r="RM30" s="296"/>
      <c r="RN30" s="296"/>
      <c r="RO30" s="296"/>
      <c r="RP30" s="296"/>
      <c r="RQ30" s="296"/>
      <c r="RR30" s="296"/>
      <c r="RS30" s="296"/>
      <c r="RT30" s="296"/>
      <c r="RU30" s="296"/>
      <c r="RV30" s="296"/>
      <c r="RW30" s="296"/>
      <c r="RX30" s="296"/>
      <c r="RY30" s="296"/>
      <c r="RZ30" s="296"/>
      <c r="SA30" s="296"/>
      <c r="SB30" s="296"/>
      <c r="SC30" s="296"/>
      <c r="SD30" s="296"/>
      <c r="SE30" s="296"/>
      <c r="SF30" s="296"/>
      <c r="SG30" s="296"/>
      <c r="SH30" s="296"/>
      <c r="SI30" s="296"/>
      <c r="SJ30" s="296"/>
      <c r="SK30" s="296"/>
      <c r="SL30" s="296"/>
      <c r="SM30" s="296"/>
      <c r="SN30" s="296"/>
      <c r="SO30" s="296"/>
      <c r="SP30" s="296"/>
      <c r="SQ30" s="296"/>
      <c r="SR30" s="296"/>
      <c r="SS30" s="296"/>
      <c r="ST30" s="296"/>
      <c r="SU30" s="296"/>
      <c r="SV30" s="296"/>
      <c r="SW30" s="296"/>
      <c r="SX30" s="296"/>
      <c r="SY30" s="296"/>
      <c r="SZ30" s="296"/>
      <c r="TA30" s="296"/>
      <c r="TB30" s="296"/>
      <c r="TC30" s="296"/>
      <c r="TD30" s="296"/>
      <c r="TE30" s="296"/>
      <c r="TF30" s="296"/>
      <c r="TG30" s="296"/>
      <c r="TH30" s="296"/>
      <c r="TI30" s="296"/>
      <c r="TJ30" s="296"/>
      <c r="TK30" s="296"/>
      <c r="TL30" s="296"/>
      <c r="TM30" s="296"/>
      <c r="TN30" s="296"/>
      <c r="TO30" s="296"/>
      <c r="TP30" s="296"/>
      <c r="TQ30" s="296"/>
      <c r="TR30" s="296"/>
      <c r="TS30" s="296"/>
      <c r="TT30" s="296"/>
      <c r="TU30" s="296"/>
      <c r="TV30" s="296"/>
      <c r="TW30" s="296"/>
      <c r="TX30" s="296"/>
      <c r="TY30" s="296"/>
      <c r="TZ30" s="296"/>
      <c r="UA30" s="296"/>
      <c r="UB30" s="296"/>
      <c r="UC30" s="296"/>
      <c r="UD30" s="296"/>
      <c r="UE30" s="296"/>
      <c r="UF30" s="296"/>
      <c r="UG30" s="296"/>
      <c r="UH30" s="296"/>
      <c r="UI30" s="296"/>
      <c r="UJ30" s="296"/>
      <c r="UK30" s="296"/>
      <c r="UL30" s="296"/>
      <c r="UM30" s="296"/>
      <c r="UN30" s="296"/>
      <c r="UO30" s="296"/>
      <c r="UP30" s="296"/>
      <c r="UQ30" s="296"/>
      <c r="UR30" s="296"/>
      <c r="US30" s="296"/>
      <c r="UT30" s="296"/>
      <c r="UU30" s="296"/>
      <c r="UV30" s="296"/>
      <c r="UW30" s="296"/>
      <c r="UX30" s="296"/>
      <c r="UY30" s="296"/>
      <c r="UZ30" s="296"/>
      <c r="VA30" s="296"/>
      <c r="VB30" s="296"/>
      <c r="VC30" s="296"/>
      <c r="VD30" s="296"/>
      <c r="VE30" s="296"/>
      <c r="VF30" s="296"/>
      <c r="VG30" s="296"/>
      <c r="VH30" s="296"/>
      <c r="VI30" s="296"/>
      <c r="VJ30" s="296"/>
      <c r="VK30" s="296"/>
      <c r="VL30" s="296"/>
      <c r="VM30" s="296"/>
      <c r="VN30" s="296"/>
      <c r="VO30" s="296"/>
      <c r="VP30" s="296"/>
      <c r="VQ30" s="296"/>
      <c r="VR30" s="296"/>
      <c r="VS30" s="296"/>
      <c r="VT30" s="296"/>
      <c r="VU30" s="296"/>
      <c r="VV30" s="296"/>
      <c r="VW30" s="296"/>
      <c r="VX30" s="296"/>
      <c r="VY30" s="296"/>
      <c r="VZ30" s="296"/>
      <c r="WA30" s="296"/>
      <c r="WB30" s="296"/>
      <c r="WC30" s="296"/>
      <c r="WD30" s="296"/>
      <c r="WE30" s="296"/>
      <c r="WF30" s="296"/>
      <c r="WG30" s="296"/>
      <c r="WH30" s="296"/>
      <c r="WI30" s="296"/>
      <c r="WJ30" s="296"/>
      <c r="WK30" s="296"/>
      <c r="WL30" s="296"/>
      <c r="WM30" s="296"/>
      <c r="WN30" s="296"/>
      <c r="WO30" s="296"/>
      <c r="WP30" s="296"/>
      <c r="WQ30" s="296"/>
      <c r="WR30" s="296"/>
      <c r="WS30" s="296"/>
      <c r="WT30" s="296"/>
      <c r="WU30" s="296"/>
      <c r="WV30" s="296"/>
      <c r="WW30" s="296"/>
      <c r="WX30" s="296"/>
      <c r="WY30" s="296"/>
      <c r="WZ30" s="296"/>
      <c r="XA30" s="296"/>
      <c r="XB30" s="296"/>
      <c r="XC30" s="296"/>
      <c r="XD30" s="296"/>
      <c r="XE30" s="296"/>
      <c r="XF30" s="296"/>
      <c r="XG30" s="296"/>
      <c r="XH30" s="296"/>
      <c r="XI30" s="296"/>
      <c r="XJ30" s="296"/>
      <c r="XK30" s="296"/>
      <c r="XL30" s="296"/>
      <c r="XM30" s="296"/>
      <c r="XN30" s="296"/>
      <c r="XO30" s="296"/>
      <c r="XP30" s="296"/>
      <c r="XQ30" s="296"/>
      <c r="XR30" s="296"/>
      <c r="XS30" s="296"/>
      <c r="XT30" s="296"/>
      <c r="XU30" s="296"/>
      <c r="XV30" s="296"/>
      <c r="XW30" s="296"/>
      <c r="XX30" s="296"/>
      <c r="XY30" s="296"/>
      <c r="XZ30" s="296"/>
      <c r="YA30" s="296"/>
      <c r="YB30" s="296"/>
      <c r="YC30" s="296"/>
      <c r="YD30" s="296"/>
      <c r="YE30" s="296"/>
      <c r="YF30" s="296"/>
      <c r="YG30" s="296"/>
      <c r="YH30" s="296"/>
      <c r="YI30" s="296"/>
      <c r="YJ30" s="296"/>
      <c r="YK30" s="296"/>
      <c r="YL30" s="296"/>
      <c r="YM30" s="296"/>
      <c r="YN30" s="296"/>
      <c r="YO30" s="296"/>
      <c r="YP30" s="296"/>
      <c r="YQ30" s="296"/>
      <c r="YR30" s="296"/>
      <c r="YS30" s="296"/>
      <c r="YT30" s="296"/>
      <c r="YU30" s="296"/>
      <c r="YV30" s="296"/>
      <c r="YW30" s="296"/>
      <c r="YX30" s="296"/>
      <c r="YY30" s="296"/>
      <c r="YZ30" s="296"/>
      <c r="ZA30" s="296"/>
      <c r="ZB30" s="296"/>
      <c r="ZC30" s="296"/>
      <c r="ZD30" s="296"/>
      <c r="ZE30" s="296"/>
      <c r="ZF30" s="296"/>
      <c r="ZG30" s="296"/>
      <c r="ZH30" s="296"/>
      <c r="ZI30" s="296"/>
      <c r="ZJ30" s="296"/>
      <c r="ZK30" s="296"/>
      <c r="ZL30" s="296"/>
      <c r="ZM30" s="296"/>
      <c r="ZN30" s="296"/>
      <c r="ZO30" s="296"/>
      <c r="ZP30" s="296"/>
      <c r="ZQ30" s="296"/>
      <c r="ZR30" s="296"/>
      <c r="ZS30" s="296"/>
      <c r="ZT30" s="296"/>
      <c r="ZU30" s="296"/>
      <c r="ZV30" s="296"/>
      <c r="ZW30" s="296"/>
      <c r="ZX30" s="296"/>
      <c r="ZY30" s="296"/>
      <c r="ZZ30" s="296"/>
      <c r="AAA30" s="296"/>
      <c r="AAB30" s="296"/>
      <c r="AAC30" s="296"/>
      <c r="AAD30" s="296"/>
      <c r="AAE30" s="296"/>
      <c r="AAF30" s="296"/>
      <c r="AAG30" s="296"/>
      <c r="AAH30" s="296"/>
      <c r="AAI30" s="296"/>
      <c r="AAJ30" s="296"/>
      <c r="AAK30" s="296"/>
      <c r="AAL30" s="296"/>
      <c r="AAM30" s="296"/>
      <c r="AAN30" s="296"/>
      <c r="AAO30" s="296"/>
      <c r="AAP30" s="296"/>
      <c r="AAQ30" s="296"/>
      <c r="AAR30" s="296"/>
      <c r="AAS30" s="296"/>
      <c r="AAT30" s="296"/>
      <c r="AAU30" s="296"/>
      <c r="AAV30" s="296"/>
      <c r="AAW30" s="296"/>
      <c r="AAX30" s="296"/>
      <c r="AAY30" s="296"/>
      <c r="AAZ30" s="296"/>
      <c r="ABA30" s="296"/>
      <c r="ABB30" s="296"/>
      <c r="ABC30" s="296"/>
      <c r="ABD30" s="296"/>
      <c r="ABE30" s="296"/>
      <c r="ABF30" s="296"/>
      <c r="ABG30" s="296"/>
      <c r="ABH30" s="296"/>
      <c r="ABI30" s="296"/>
      <c r="ABJ30" s="296"/>
      <c r="ABK30" s="296"/>
      <c r="ABL30" s="296"/>
      <c r="ABM30" s="296"/>
      <c r="ABN30" s="296"/>
      <c r="ABO30" s="296"/>
      <c r="ABP30" s="296"/>
      <c r="ABQ30" s="296"/>
      <c r="ABR30" s="296"/>
      <c r="ABS30" s="296"/>
      <c r="ABT30" s="296"/>
      <c r="ABU30" s="296"/>
      <c r="ABV30" s="296"/>
      <c r="ABW30" s="296"/>
      <c r="ABX30" s="296"/>
      <c r="ABY30" s="296"/>
      <c r="ABZ30" s="296"/>
      <c r="ACA30" s="296"/>
      <c r="ACB30" s="296"/>
      <c r="ACC30" s="296"/>
      <c r="ACD30" s="296"/>
      <c r="ACE30" s="296"/>
      <c r="ACF30" s="296"/>
      <c r="ACG30" s="296"/>
      <c r="ACH30" s="296"/>
      <c r="ACI30" s="296"/>
      <c r="ACJ30" s="296"/>
      <c r="ACK30" s="296"/>
      <c r="ACL30" s="296"/>
      <c r="ACM30" s="296"/>
      <c r="ACN30" s="296"/>
      <c r="ACO30" s="296"/>
      <c r="ACP30" s="296"/>
      <c r="ACQ30" s="296"/>
      <c r="ACR30" s="296"/>
      <c r="ACS30" s="296"/>
      <c r="ACT30" s="296"/>
      <c r="ACU30" s="296"/>
      <c r="ACV30" s="296"/>
      <c r="ACW30" s="296"/>
      <c r="ACX30" s="296"/>
      <c r="ACY30" s="296"/>
      <c r="ACZ30" s="296"/>
      <c r="ADA30" s="296"/>
      <c r="ADB30" s="296"/>
      <c r="ADC30" s="296"/>
      <c r="ADD30" s="296"/>
      <c r="ADE30" s="296"/>
      <c r="ADF30" s="296"/>
      <c r="ADG30" s="296"/>
      <c r="ADH30" s="296"/>
      <c r="ADI30" s="296"/>
      <c r="ADJ30" s="296"/>
      <c r="ADK30" s="296"/>
      <c r="ADL30" s="296"/>
      <c r="ADM30" s="296"/>
      <c r="ADN30" s="296"/>
      <c r="ADO30" s="296"/>
      <c r="ADP30" s="296"/>
      <c r="ADQ30" s="296"/>
      <c r="ADR30" s="296"/>
      <c r="ADS30" s="296"/>
      <c r="ADT30" s="296"/>
      <c r="ADU30" s="296"/>
      <c r="ADV30" s="296"/>
      <c r="ADW30" s="296"/>
      <c r="ADX30" s="296"/>
      <c r="ADY30" s="296"/>
      <c r="ADZ30" s="296"/>
      <c r="AEA30" s="296"/>
      <c r="AEB30" s="296"/>
      <c r="AEC30" s="296"/>
      <c r="AED30" s="296"/>
      <c r="AEE30" s="296"/>
      <c r="AEF30" s="296"/>
      <c r="AEG30" s="296"/>
      <c r="AEH30" s="296"/>
      <c r="AEI30" s="296"/>
      <c r="AEJ30" s="296"/>
      <c r="AEK30" s="296"/>
      <c r="AEL30" s="296"/>
      <c r="AEM30" s="296"/>
      <c r="AEN30" s="296"/>
      <c r="AEO30" s="296"/>
      <c r="AEP30" s="296"/>
      <c r="AEQ30" s="296"/>
      <c r="AER30" s="296"/>
      <c r="AES30" s="296"/>
      <c r="AET30" s="296"/>
      <c r="AEU30" s="296"/>
      <c r="AEV30" s="296"/>
      <c r="AEW30" s="296"/>
      <c r="AEX30" s="296"/>
      <c r="AEY30" s="296"/>
      <c r="AEZ30" s="296"/>
      <c r="AFA30" s="296"/>
      <c r="AFB30" s="296"/>
      <c r="AFC30" s="296"/>
      <c r="AFD30" s="296"/>
      <c r="AFE30" s="296"/>
      <c r="AFF30" s="296"/>
      <c r="AFG30" s="296"/>
      <c r="AFH30" s="296"/>
      <c r="AFI30" s="296"/>
      <c r="AFJ30" s="296"/>
      <c r="AFK30" s="296"/>
      <c r="AFL30" s="296"/>
      <c r="AFM30" s="296"/>
      <c r="AFN30" s="296"/>
      <c r="AFO30" s="296"/>
      <c r="AFP30" s="296"/>
      <c r="AFQ30" s="296"/>
      <c r="AFR30" s="296"/>
      <c r="AFS30" s="296"/>
      <c r="AFT30" s="296"/>
      <c r="AFU30" s="296"/>
      <c r="AFV30" s="296"/>
      <c r="AFW30" s="296"/>
      <c r="AFX30" s="296"/>
      <c r="AFY30" s="296"/>
      <c r="AFZ30" s="296"/>
      <c r="AGA30" s="296"/>
      <c r="AGB30" s="296"/>
      <c r="AGC30" s="296"/>
      <c r="AGD30" s="296"/>
      <c r="AGE30" s="296"/>
      <c r="AGF30" s="296"/>
      <c r="AGG30" s="296"/>
      <c r="AGH30" s="296"/>
      <c r="AGI30" s="296"/>
      <c r="AGJ30" s="296"/>
      <c r="AGK30" s="296"/>
      <c r="AGL30" s="296"/>
      <c r="AGM30" s="296"/>
      <c r="AGN30" s="296"/>
      <c r="AGO30" s="296"/>
      <c r="AGP30" s="296"/>
      <c r="AGQ30" s="296"/>
      <c r="AGR30" s="296"/>
      <c r="AGS30" s="296"/>
      <c r="AGT30" s="296"/>
      <c r="AGU30" s="296"/>
      <c r="AGV30" s="296"/>
      <c r="AGW30" s="296"/>
      <c r="AGX30" s="296"/>
      <c r="AGY30" s="296"/>
      <c r="AGZ30" s="296"/>
      <c r="AHA30" s="296"/>
      <c r="AHB30" s="296"/>
      <c r="AHC30" s="296"/>
      <c r="AHD30" s="296"/>
      <c r="AHE30" s="296"/>
      <c r="AHF30" s="296"/>
      <c r="AHG30" s="296"/>
      <c r="AHH30" s="296"/>
      <c r="AHI30" s="296"/>
      <c r="AHJ30" s="296"/>
      <c r="AHK30" s="296"/>
      <c r="AHL30" s="296"/>
      <c r="AHM30" s="296"/>
      <c r="AHN30" s="296"/>
      <c r="AHO30" s="296"/>
      <c r="AHP30" s="296"/>
      <c r="AHQ30" s="296"/>
      <c r="AHR30" s="296"/>
      <c r="AHS30" s="296"/>
      <c r="AHT30" s="296"/>
      <c r="AHU30" s="296"/>
      <c r="AHV30" s="296"/>
      <c r="AHW30" s="296"/>
      <c r="AHX30" s="296"/>
      <c r="AHY30" s="296"/>
      <c r="AHZ30" s="296"/>
      <c r="AIA30" s="296"/>
      <c r="AIB30" s="296"/>
      <c r="AIC30" s="296"/>
      <c r="AID30" s="296"/>
      <c r="AIE30" s="296"/>
      <c r="AIF30" s="296"/>
      <c r="AIG30" s="296"/>
      <c r="AIH30" s="296"/>
      <c r="AII30" s="296"/>
      <c r="AIJ30" s="296"/>
      <c r="AIK30" s="296"/>
      <c r="AIL30" s="296"/>
      <c r="AIM30" s="296"/>
      <c r="AIN30" s="296"/>
      <c r="AIO30" s="296"/>
      <c r="AIP30" s="296"/>
      <c r="AIQ30" s="296"/>
      <c r="AIR30" s="296"/>
      <c r="AIS30" s="296"/>
      <c r="AIT30" s="296"/>
      <c r="AIU30" s="296"/>
      <c r="AIV30" s="296"/>
      <c r="AIW30" s="296"/>
      <c r="AIX30" s="296"/>
      <c r="AIY30" s="296"/>
      <c r="AIZ30" s="296"/>
      <c r="AJA30" s="296"/>
      <c r="AJB30" s="296"/>
      <c r="AJC30" s="296"/>
      <c r="AJD30" s="296"/>
      <c r="AJE30" s="296"/>
      <c r="AJF30" s="296"/>
      <c r="AJG30" s="296"/>
      <c r="AJH30" s="296"/>
      <c r="AJI30" s="296"/>
      <c r="AJJ30" s="296"/>
      <c r="AJK30" s="296"/>
      <c r="AJL30" s="296"/>
      <c r="AJM30" s="296"/>
      <c r="AJN30" s="296"/>
      <c r="AJO30" s="296"/>
      <c r="AJP30" s="296"/>
      <c r="AJQ30" s="296"/>
      <c r="AJR30" s="296"/>
      <c r="AJS30" s="296"/>
      <c r="AJT30" s="296"/>
      <c r="AJU30" s="296"/>
      <c r="AJV30" s="296"/>
      <c r="AJW30" s="296"/>
      <c r="AJX30" s="296"/>
      <c r="AJY30" s="296"/>
      <c r="AJZ30" s="296"/>
      <c r="AKA30" s="296"/>
      <c r="AKB30" s="296"/>
      <c r="AKC30" s="296"/>
      <c r="AKD30" s="296"/>
      <c r="AKE30" s="296"/>
      <c r="AKF30" s="296"/>
      <c r="AKG30" s="296"/>
      <c r="AKH30" s="296"/>
      <c r="AKI30" s="296"/>
      <c r="AKJ30" s="296"/>
      <c r="AKK30" s="296"/>
      <c r="AKL30" s="296"/>
      <c r="AKM30" s="296"/>
      <c r="AKN30" s="296"/>
      <c r="AKO30" s="296"/>
      <c r="AKP30" s="296"/>
      <c r="AKQ30" s="296"/>
      <c r="AKR30" s="296"/>
      <c r="AKS30" s="296"/>
      <c r="AKT30" s="296"/>
      <c r="AKU30" s="296"/>
      <c r="AKV30" s="296"/>
      <c r="AKW30" s="296"/>
      <c r="AKX30" s="296"/>
      <c r="AKY30" s="296"/>
      <c r="AKZ30" s="296"/>
      <c r="ALA30" s="296"/>
      <c r="ALB30" s="296"/>
      <c r="ALC30" s="296"/>
      <c r="ALD30" s="296"/>
      <c r="ALE30" s="296"/>
      <c r="ALF30" s="296"/>
      <c r="ALG30" s="296"/>
      <c r="ALH30" s="296"/>
      <c r="ALI30" s="296"/>
      <c r="ALJ30" s="296"/>
      <c r="ALK30" s="296"/>
      <c r="ALL30" s="296"/>
      <c r="ALM30" s="296"/>
      <c r="ALN30" s="296"/>
      <c r="ALO30" s="296"/>
      <c r="ALP30" s="296"/>
      <c r="ALQ30" s="296"/>
      <c r="ALR30" s="296"/>
      <c r="ALS30" s="296"/>
      <c r="ALT30" s="296"/>
      <c r="ALU30" s="296"/>
      <c r="ALV30" s="296"/>
      <c r="ALW30" s="296"/>
      <c r="ALX30" s="296"/>
      <c r="ALY30" s="296"/>
      <c r="ALZ30" s="296"/>
      <c r="AMA30" s="296"/>
      <c r="AMB30" s="296"/>
      <c r="AMC30" s="296"/>
      <c r="AMD30" s="296"/>
      <c r="AME30" s="296"/>
      <c r="AMF30" s="296"/>
      <c r="AMG30" s="296"/>
      <c r="AMH30" s="296"/>
      <c r="AMI30" s="296"/>
      <c r="AMJ30" s="296"/>
    </row>
    <row r="31" customFormat="false" ht="12.8" hidden="false" customHeight="false" outlineLevel="0" collapsed="false">
      <c r="A31" s="324"/>
      <c r="B31" s="309" t="s">
        <v>191</v>
      </c>
      <c r="C31" s="309"/>
      <c r="D31" s="309" t="s">
        <v>192</v>
      </c>
      <c r="E31" s="309"/>
      <c r="F31" s="309" t="s">
        <v>32</v>
      </c>
      <c r="G31" s="309"/>
      <c r="H31" s="309" t="s">
        <v>193</v>
      </c>
      <c r="I31" s="309"/>
      <c r="J31" s="309" t="s">
        <v>194</v>
      </c>
      <c r="K31" s="301"/>
      <c r="L31" s="301"/>
      <c r="M31" s="301"/>
      <c r="N31" s="301"/>
      <c r="O31" s="301"/>
      <c r="P31" s="301"/>
      <c r="Q31" s="301"/>
      <c r="R31" s="301"/>
      <c r="S31" s="301"/>
      <c r="T31" s="301"/>
      <c r="U31" s="301"/>
      <c r="V31" s="301"/>
      <c r="W31" s="301"/>
      <c r="X31" s="301"/>
      <c r="Y31" s="301"/>
      <c r="Z31" s="301"/>
      <c r="AA31" s="301"/>
      <c r="AB31" s="301"/>
      <c r="AC31" s="301"/>
      <c r="AD31" s="301"/>
      <c r="AE31" s="301"/>
      <c r="AF31" s="301"/>
      <c r="AG31" s="301"/>
      <c r="AH31" s="301"/>
      <c r="AI31" s="301"/>
      <c r="AJ31" s="301"/>
      <c r="AK31" s="301"/>
      <c r="AL31" s="301"/>
      <c r="AM31" s="301"/>
      <c r="AN31" s="301"/>
      <c r="AO31" s="301"/>
      <c r="AP31" s="301"/>
      <c r="AQ31" s="301"/>
      <c r="AR31" s="301"/>
      <c r="AS31" s="301"/>
      <c r="AT31" s="301"/>
      <c r="AU31" s="301"/>
      <c r="AV31" s="301"/>
      <c r="AW31" s="301"/>
      <c r="AX31" s="301"/>
      <c r="AY31" s="301"/>
      <c r="AZ31" s="301"/>
      <c r="BA31" s="301"/>
      <c r="BB31" s="301"/>
      <c r="BC31" s="301"/>
      <c r="BD31" s="301"/>
      <c r="BE31" s="301"/>
      <c r="BF31" s="301"/>
      <c r="BG31" s="301"/>
      <c r="BH31" s="301"/>
      <c r="BI31" s="301"/>
      <c r="BJ31" s="301"/>
      <c r="BK31" s="301"/>
      <c r="BL31" s="301"/>
      <c r="BM31" s="301"/>
      <c r="BN31" s="301"/>
      <c r="BO31" s="301"/>
      <c r="BP31" s="301"/>
      <c r="BQ31" s="301"/>
      <c r="BR31" s="301"/>
      <c r="BS31" s="301"/>
      <c r="BT31" s="301"/>
      <c r="BU31" s="301"/>
      <c r="BV31" s="301"/>
      <c r="BW31" s="301"/>
      <c r="BX31" s="301"/>
      <c r="BY31" s="301"/>
      <c r="BZ31" s="301"/>
      <c r="CA31" s="301"/>
      <c r="CB31" s="301"/>
      <c r="CC31" s="301"/>
      <c r="CD31" s="301"/>
      <c r="CE31" s="301"/>
      <c r="CF31" s="301"/>
      <c r="CG31" s="301"/>
      <c r="CH31" s="301"/>
      <c r="CI31" s="301"/>
      <c r="CJ31" s="301"/>
      <c r="CK31" s="301"/>
      <c r="CL31" s="301"/>
      <c r="CM31" s="301"/>
      <c r="CN31" s="301"/>
      <c r="CO31" s="301"/>
      <c r="CP31" s="301"/>
      <c r="CQ31" s="301"/>
      <c r="CR31" s="301"/>
      <c r="CS31" s="301"/>
      <c r="CT31" s="301"/>
      <c r="CU31" s="301"/>
      <c r="CV31" s="301"/>
      <c r="CW31" s="301"/>
      <c r="CX31" s="301"/>
      <c r="CY31" s="301"/>
      <c r="CZ31" s="301"/>
      <c r="DA31" s="301"/>
      <c r="DB31" s="301"/>
      <c r="DC31" s="301"/>
      <c r="DD31" s="301"/>
      <c r="DE31" s="301"/>
      <c r="DF31" s="301"/>
      <c r="DG31" s="301"/>
      <c r="DH31" s="301"/>
      <c r="DI31" s="301"/>
      <c r="DJ31" s="301"/>
      <c r="DK31" s="301"/>
      <c r="DL31" s="301"/>
      <c r="DM31" s="301"/>
      <c r="DN31" s="301"/>
      <c r="DO31" s="301"/>
      <c r="DP31" s="301"/>
      <c r="DQ31" s="301"/>
      <c r="DR31" s="301"/>
      <c r="DS31" s="301"/>
      <c r="DT31" s="301"/>
      <c r="DU31" s="301"/>
      <c r="DV31" s="301"/>
      <c r="DW31" s="301"/>
      <c r="DX31" s="301"/>
      <c r="DY31" s="301"/>
      <c r="DZ31" s="301"/>
      <c r="EA31" s="301"/>
      <c r="EB31" s="301"/>
      <c r="EC31" s="301"/>
      <c r="ED31" s="301"/>
      <c r="EE31" s="301"/>
      <c r="EF31" s="301"/>
      <c r="EG31" s="301"/>
      <c r="EH31" s="301"/>
      <c r="EI31" s="301"/>
      <c r="EJ31" s="301"/>
      <c r="EK31" s="301"/>
      <c r="EL31" s="301"/>
      <c r="EM31" s="301"/>
      <c r="EN31" s="301"/>
      <c r="EO31" s="301"/>
      <c r="EP31" s="301"/>
      <c r="EQ31" s="301"/>
      <c r="ER31" s="301"/>
      <c r="ES31" s="301"/>
      <c r="ET31" s="301"/>
      <c r="EU31" s="301"/>
      <c r="EV31" s="301"/>
      <c r="EW31" s="301"/>
      <c r="EX31" s="301"/>
      <c r="EY31" s="301"/>
      <c r="EZ31" s="301"/>
      <c r="FA31" s="301"/>
      <c r="FB31" s="301"/>
      <c r="FC31" s="301"/>
      <c r="FD31" s="301"/>
      <c r="FE31" s="301"/>
      <c r="FF31" s="301"/>
      <c r="FG31" s="301"/>
      <c r="FH31" s="301"/>
      <c r="FI31" s="301"/>
      <c r="FJ31" s="301"/>
      <c r="FK31" s="301"/>
      <c r="FL31" s="301"/>
      <c r="FM31" s="301"/>
      <c r="FN31" s="301"/>
      <c r="FO31" s="301"/>
      <c r="FP31" s="301"/>
      <c r="FQ31" s="301"/>
      <c r="FR31" s="301"/>
      <c r="FS31" s="301"/>
      <c r="FT31" s="301"/>
      <c r="FU31" s="301"/>
      <c r="FV31" s="301"/>
      <c r="FW31" s="301"/>
      <c r="FX31" s="301"/>
      <c r="FY31" s="301"/>
      <c r="FZ31" s="301"/>
      <c r="GA31" s="301"/>
      <c r="GB31" s="301"/>
      <c r="GC31" s="301"/>
      <c r="GD31" s="301"/>
      <c r="GE31" s="301"/>
      <c r="GF31" s="301"/>
      <c r="GG31" s="301"/>
      <c r="GH31" s="301"/>
      <c r="GI31" s="301"/>
      <c r="GJ31" s="301"/>
      <c r="GK31" s="301"/>
      <c r="GL31" s="301"/>
      <c r="GM31" s="301"/>
      <c r="GN31" s="301"/>
      <c r="GO31" s="301"/>
      <c r="GP31" s="301"/>
      <c r="GQ31" s="301"/>
      <c r="GR31" s="301"/>
      <c r="GS31" s="301"/>
      <c r="GT31" s="301"/>
      <c r="GU31" s="301"/>
      <c r="GV31" s="301"/>
      <c r="GW31" s="301"/>
      <c r="GX31" s="301"/>
      <c r="GY31" s="301"/>
      <c r="GZ31" s="301"/>
      <c r="HA31" s="301"/>
      <c r="HB31" s="301"/>
      <c r="HC31" s="301"/>
      <c r="HD31" s="301"/>
      <c r="HE31" s="301"/>
      <c r="HF31" s="301"/>
      <c r="HG31" s="301"/>
      <c r="HH31" s="301"/>
      <c r="HI31" s="301"/>
      <c r="HJ31" s="301"/>
      <c r="HK31" s="301"/>
      <c r="HL31" s="301"/>
      <c r="HM31" s="301"/>
      <c r="HN31" s="301"/>
      <c r="HO31" s="301"/>
      <c r="HP31" s="301"/>
      <c r="HQ31" s="301"/>
      <c r="HR31" s="301"/>
      <c r="HS31" s="301"/>
      <c r="HT31" s="301"/>
      <c r="HU31" s="301"/>
      <c r="HV31" s="301"/>
      <c r="HW31" s="301"/>
      <c r="HX31" s="301"/>
      <c r="HY31" s="301"/>
      <c r="HZ31" s="301"/>
      <c r="IA31" s="301"/>
      <c r="IB31" s="301"/>
      <c r="IC31" s="301"/>
      <c r="ID31" s="301"/>
      <c r="IE31" s="301"/>
      <c r="IF31" s="301"/>
      <c r="IG31" s="301"/>
      <c r="IH31" s="301"/>
      <c r="II31" s="301"/>
      <c r="IJ31" s="301"/>
      <c r="IK31" s="301"/>
      <c r="IL31" s="301"/>
      <c r="IM31" s="301"/>
      <c r="IN31" s="301"/>
      <c r="IO31" s="301"/>
      <c r="IP31" s="301"/>
      <c r="IQ31" s="301"/>
      <c r="IR31" s="301"/>
      <c r="IS31" s="301"/>
      <c r="IT31" s="301"/>
      <c r="IU31" s="301"/>
      <c r="IV31" s="301"/>
      <c r="IW31" s="301"/>
      <c r="IX31" s="301"/>
      <c r="IY31" s="301"/>
      <c r="IZ31" s="301"/>
      <c r="JA31" s="301"/>
      <c r="JB31" s="301"/>
      <c r="JC31" s="301"/>
      <c r="JD31" s="301"/>
      <c r="JE31" s="301"/>
      <c r="JF31" s="301"/>
      <c r="JG31" s="301"/>
      <c r="JH31" s="301"/>
      <c r="JI31" s="301"/>
      <c r="JJ31" s="301"/>
      <c r="JK31" s="301"/>
      <c r="JL31" s="301"/>
      <c r="JM31" s="301"/>
      <c r="JN31" s="301"/>
      <c r="JO31" s="301"/>
      <c r="JP31" s="301"/>
      <c r="JQ31" s="301"/>
      <c r="JR31" s="301"/>
      <c r="JS31" s="301"/>
      <c r="JT31" s="301"/>
      <c r="JU31" s="301"/>
      <c r="JV31" s="301"/>
      <c r="JW31" s="301"/>
      <c r="JX31" s="301"/>
      <c r="JY31" s="301"/>
      <c r="JZ31" s="301"/>
      <c r="KA31" s="301"/>
      <c r="KB31" s="301"/>
      <c r="KC31" s="301"/>
      <c r="KD31" s="301"/>
      <c r="KE31" s="301"/>
      <c r="KF31" s="301"/>
      <c r="KG31" s="301"/>
      <c r="KH31" s="301"/>
      <c r="KI31" s="301"/>
      <c r="KJ31" s="301"/>
      <c r="KK31" s="301"/>
      <c r="KL31" s="301"/>
      <c r="KM31" s="301"/>
      <c r="KN31" s="301"/>
      <c r="KO31" s="301"/>
      <c r="KP31" s="301"/>
      <c r="KQ31" s="301"/>
      <c r="KR31" s="301"/>
      <c r="KS31" s="301"/>
      <c r="KT31" s="301"/>
      <c r="KU31" s="301"/>
      <c r="KV31" s="301"/>
      <c r="KW31" s="301"/>
      <c r="KX31" s="301"/>
      <c r="KY31" s="301"/>
      <c r="KZ31" s="301"/>
      <c r="LA31" s="301"/>
      <c r="LB31" s="301"/>
      <c r="LC31" s="301"/>
      <c r="LD31" s="301"/>
      <c r="LE31" s="301"/>
      <c r="LF31" s="301"/>
      <c r="LG31" s="301"/>
      <c r="LH31" s="301"/>
      <c r="LI31" s="301"/>
      <c r="LJ31" s="301"/>
      <c r="LK31" s="301"/>
      <c r="LL31" s="301"/>
      <c r="LM31" s="301"/>
      <c r="LN31" s="301"/>
      <c r="LO31" s="301"/>
      <c r="LP31" s="301"/>
      <c r="LQ31" s="301"/>
      <c r="LR31" s="301"/>
      <c r="LS31" s="301"/>
      <c r="LT31" s="301"/>
      <c r="LU31" s="301"/>
      <c r="LV31" s="301"/>
      <c r="LW31" s="301"/>
      <c r="LX31" s="301"/>
      <c r="LY31" s="301"/>
      <c r="LZ31" s="301"/>
      <c r="MA31" s="301"/>
      <c r="MB31" s="301"/>
      <c r="MC31" s="301"/>
      <c r="MD31" s="301"/>
      <c r="ME31" s="301"/>
      <c r="MF31" s="301"/>
      <c r="MG31" s="301"/>
      <c r="MH31" s="301"/>
      <c r="MI31" s="301"/>
      <c r="MJ31" s="301"/>
      <c r="MK31" s="301"/>
      <c r="ML31" s="301"/>
      <c r="MM31" s="301"/>
      <c r="MN31" s="301"/>
      <c r="MO31" s="301"/>
      <c r="MP31" s="301"/>
      <c r="MQ31" s="301"/>
      <c r="MR31" s="301"/>
      <c r="MS31" s="301"/>
      <c r="MT31" s="301"/>
      <c r="MU31" s="301"/>
      <c r="MV31" s="301"/>
      <c r="MW31" s="301"/>
      <c r="MX31" s="301"/>
      <c r="MY31" s="301"/>
      <c r="MZ31" s="301"/>
      <c r="NA31" s="301"/>
      <c r="NB31" s="301"/>
      <c r="NC31" s="301"/>
      <c r="ND31" s="301"/>
      <c r="NE31" s="301"/>
      <c r="NF31" s="301"/>
      <c r="NG31" s="301"/>
      <c r="NH31" s="301"/>
      <c r="NI31" s="301"/>
      <c r="NJ31" s="301"/>
      <c r="NK31" s="301"/>
      <c r="NL31" s="301"/>
      <c r="NM31" s="301"/>
      <c r="NN31" s="301"/>
      <c r="NO31" s="301"/>
      <c r="NP31" s="301"/>
      <c r="NQ31" s="301"/>
      <c r="NR31" s="301"/>
      <c r="NS31" s="301"/>
      <c r="NT31" s="301"/>
      <c r="NU31" s="301"/>
      <c r="NV31" s="301"/>
      <c r="NW31" s="301"/>
      <c r="NX31" s="301"/>
      <c r="NY31" s="301"/>
      <c r="NZ31" s="301"/>
      <c r="OA31" s="301"/>
      <c r="OB31" s="301"/>
      <c r="OC31" s="301"/>
      <c r="OD31" s="301"/>
      <c r="OE31" s="301"/>
      <c r="OF31" s="301"/>
      <c r="OG31" s="301"/>
      <c r="OH31" s="301"/>
      <c r="OI31" s="301"/>
      <c r="OJ31" s="301"/>
      <c r="OK31" s="301"/>
      <c r="OL31" s="301"/>
      <c r="OM31" s="301"/>
      <c r="ON31" s="301"/>
      <c r="OO31" s="301"/>
      <c r="OP31" s="301"/>
      <c r="OQ31" s="301"/>
      <c r="OR31" s="301"/>
      <c r="OS31" s="301"/>
      <c r="OT31" s="301"/>
      <c r="OU31" s="301"/>
      <c r="OV31" s="301"/>
      <c r="OW31" s="301"/>
      <c r="OX31" s="301"/>
      <c r="OY31" s="301"/>
      <c r="OZ31" s="301"/>
      <c r="PA31" s="301"/>
      <c r="PB31" s="301"/>
      <c r="PC31" s="301"/>
      <c r="PD31" s="301"/>
      <c r="PE31" s="301"/>
      <c r="PF31" s="301"/>
      <c r="PG31" s="301"/>
      <c r="PH31" s="301"/>
      <c r="PI31" s="301"/>
      <c r="PJ31" s="301"/>
      <c r="PK31" s="301"/>
      <c r="PL31" s="301"/>
      <c r="PM31" s="301"/>
      <c r="PN31" s="301"/>
      <c r="PO31" s="301"/>
      <c r="PP31" s="301"/>
      <c r="PQ31" s="301"/>
      <c r="PR31" s="301"/>
      <c r="PS31" s="301"/>
      <c r="PT31" s="301"/>
      <c r="PU31" s="301"/>
      <c r="PV31" s="301"/>
      <c r="PW31" s="301"/>
      <c r="PX31" s="301"/>
      <c r="PY31" s="301"/>
      <c r="PZ31" s="301"/>
      <c r="QA31" s="301"/>
      <c r="QB31" s="301"/>
      <c r="QC31" s="301"/>
      <c r="QD31" s="301"/>
      <c r="QE31" s="301"/>
      <c r="QF31" s="301"/>
      <c r="QG31" s="301"/>
      <c r="QH31" s="301"/>
      <c r="QI31" s="301"/>
      <c r="QJ31" s="301"/>
      <c r="QK31" s="301"/>
      <c r="QL31" s="301"/>
      <c r="QM31" s="301"/>
      <c r="QN31" s="301"/>
      <c r="QO31" s="301"/>
      <c r="QP31" s="301"/>
      <c r="QQ31" s="301"/>
      <c r="QR31" s="301"/>
      <c r="QS31" s="301"/>
      <c r="QT31" s="301"/>
      <c r="QU31" s="301"/>
      <c r="QV31" s="301"/>
      <c r="QW31" s="301"/>
      <c r="QX31" s="301"/>
      <c r="QY31" s="301"/>
      <c r="QZ31" s="301"/>
      <c r="RA31" s="301"/>
      <c r="RB31" s="301"/>
      <c r="RC31" s="301"/>
      <c r="RD31" s="301"/>
      <c r="RE31" s="301"/>
      <c r="RF31" s="301"/>
      <c r="RG31" s="301"/>
      <c r="RH31" s="301"/>
      <c r="RI31" s="301"/>
      <c r="RJ31" s="301"/>
      <c r="RK31" s="301"/>
      <c r="RL31" s="301"/>
      <c r="RM31" s="301"/>
      <c r="RN31" s="301"/>
      <c r="RO31" s="301"/>
      <c r="RP31" s="301"/>
      <c r="RQ31" s="301"/>
      <c r="RR31" s="301"/>
      <c r="RS31" s="301"/>
      <c r="RT31" s="301"/>
      <c r="RU31" s="301"/>
      <c r="RV31" s="301"/>
      <c r="RW31" s="301"/>
      <c r="RX31" s="301"/>
      <c r="RY31" s="301"/>
      <c r="RZ31" s="301"/>
      <c r="SA31" s="301"/>
      <c r="SB31" s="301"/>
      <c r="SC31" s="301"/>
      <c r="SD31" s="301"/>
      <c r="SE31" s="301"/>
      <c r="SF31" s="301"/>
      <c r="SG31" s="301"/>
      <c r="SH31" s="301"/>
      <c r="SI31" s="301"/>
      <c r="SJ31" s="301"/>
      <c r="SK31" s="301"/>
      <c r="SL31" s="301"/>
      <c r="SM31" s="301"/>
      <c r="SN31" s="301"/>
      <c r="SO31" s="301"/>
      <c r="SP31" s="301"/>
      <c r="SQ31" s="301"/>
      <c r="SR31" s="301"/>
      <c r="SS31" s="301"/>
      <c r="ST31" s="301"/>
      <c r="SU31" s="301"/>
      <c r="SV31" s="301"/>
      <c r="SW31" s="301"/>
      <c r="SX31" s="301"/>
      <c r="SY31" s="301"/>
      <c r="SZ31" s="301"/>
      <c r="TA31" s="301"/>
      <c r="TB31" s="301"/>
      <c r="TC31" s="301"/>
      <c r="TD31" s="301"/>
      <c r="TE31" s="301"/>
      <c r="TF31" s="301"/>
      <c r="TG31" s="301"/>
      <c r="TH31" s="301"/>
      <c r="TI31" s="301"/>
      <c r="TJ31" s="301"/>
      <c r="TK31" s="301"/>
      <c r="TL31" s="301"/>
      <c r="TM31" s="301"/>
      <c r="TN31" s="301"/>
      <c r="TO31" s="301"/>
      <c r="TP31" s="301"/>
      <c r="TQ31" s="301"/>
      <c r="TR31" s="301"/>
      <c r="TS31" s="301"/>
      <c r="TT31" s="301"/>
      <c r="TU31" s="301"/>
      <c r="TV31" s="301"/>
      <c r="TW31" s="301"/>
      <c r="TX31" s="301"/>
      <c r="TY31" s="301"/>
      <c r="TZ31" s="301"/>
      <c r="UA31" s="301"/>
      <c r="UB31" s="301"/>
      <c r="UC31" s="301"/>
      <c r="UD31" s="301"/>
      <c r="UE31" s="301"/>
      <c r="UF31" s="301"/>
      <c r="UG31" s="301"/>
      <c r="UH31" s="301"/>
      <c r="UI31" s="301"/>
      <c r="UJ31" s="301"/>
      <c r="UK31" s="301"/>
      <c r="UL31" s="301"/>
      <c r="UM31" s="301"/>
      <c r="UN31" s="301"/>
      <c r="UO31" s="301"/>
      <c r="UP31" s="301"/>
      <c r="UQ31" s="301"/>
      <c r="UR31" s="301"/>
      <c r="US31" s="301"/>
      <c r="UT31" s="301"/>
      <c r="UU31" s="301"/>
      <c r="UV31" s="301"/>
      <c r="UW31" s="301"/>
      <c r="UX31" s="301"/>
      <c r="UY31" s="301"/>
      <c r="UZ31" s="301"/>
      <c r="VA31" s="301"/>
      <c r="VB31" s="301"/>
      <c r="VC31" s="301"/>
      <c r="VD31" s="301"/>
      <c r="VE31" s="301"/>
      <c r="VF31" s="301"/>
      <c r="VG31" s="301"/>
      <c r="VH31" s="301"/>
      <c r="VI31" s="301"/>
      <c r="VJ31" s="301"/>
      <c r="VK31" s="301"/>
      <c r="VL31" s="301"/>
      <c r="VM31" s="301"/>
      <c r="VN31" s="301"/>
      <c r="VO31" s="301"/>
      <c r="VP31" s="301"/>
      <c r="VQ31" s="301"/>
      <c r="VR31" s="301"/>
      <c r="VS31" s="301"/>
      <c r="VT31" s="301"/>
      <c r="VU31" s="301"/>
      <c r="VV31" s="301"/>
      <c r="VW31" s="301"/>
      <c r="VX31" s="301"/>
      <c r="VY31" s="301"/>
      <c r="VZ31" s="301"/>
      <c r="WA31" s="301"/>
      <c r="WB31" s="301"/>
      <c r="WC31" s="301"/>
      <c r="WD31" s="301"/>
      <c r="WE31" s="301"/>
      <c r="WF31" s="301"/>
      <c r="WG31" s="301"/>
      <c r="WH31" s="301"/>
      <c r="WI31" s="301"/>
      <c r="WJ31" s="301"/>
      <c r="WK31" s="301"/>
      <c r="WL31" s="301"/>
      <c r="WM31" s="301"/>
      <c r="WN31" s="301"/>
      <c r="WO31" s="301"/>
      <c r="WP31" s="301"/>
      <c r="WQ31" s="301"/>
      <c r="WR31" s="301"/>
      <c r="WS31" s="301"/>
      <c r="WT31" s="301"/>
      <c r="WU31" s="301"/>
      <c r="WV31" s="301"/>
      <c r="WW31" s="301"/>
      <c r="WX31" s="301"/>
      <c r="WY31" s="301"/>
      <c r="WZ31" s="301"/>
      <c r="XA31" s="301"/>
      <c r="XB31" s="301"/>
      <c r="XC31" s="301"/>
      <c r="XD31" s="301"/>
      <c r="XE31" s="301"/>
      <c r="XF31" s="301"/>
      <c r="XG31" s="301"/>
      <c r="XH31" s="301"/>
      <c r="XI31" s="301"/>
      <c r="XJ31" s="301"/>
      <c r="XK31" s="301"/>
      <c r="XL31" s="301"/>
      <c r="XM31" s="301"/>
      <c r="XN31" s="301"/>
      <c r="XO31" s="301"/>
      <c r="XP31" s="301"/>
      <c r="XQ31" s="301"/>
      <c r="XR31" s="301"/>
      <c r="XS31" s="301"/>
      <c r="XT31" s="301"/>
      <c r="XU31" s="301"/>
      <c r="XV31" s="301"/>
      <c r="XW31" s="301"/>
      <c r="XX31" s="301"/>
      <c r="XY31" s="301"/>
      <c r="XZ31" s="301"/>
      <c r="YA31" s="301"/>
      <c r="YB31" s="301"/>
      <c r="YC31" s="301"/>
      <c r="YD31" s="301"/>
      <c r="YE31" s="301"/>
      <c r="YF31" s="301"/>
      <c r="YG31" s="301"/>
      <c r="YH31" s="301"/>
      <c r="YI31" s="301"/>
      <c r="YJ31" s="301"/>
      <c r="YK31" s="301"/>
      <c r="YL31" s="301"/>
      <c r="YM31" s="301"/>
      <c r="YN31" s="301"/>
      <c r="YO31" s="301"/>
      <c r="YP31" s="301"/>
      <c r="YQ31" s="301"/>
      <c r="YR31" s="301"/>
      <c r="YS31" s="301"/>
      <c r="YT31" s="301"/>
      <c r="YU31" s="301"/>
      <c r="YV31" s="301"/>
      <c r="YW31" s="301"/>
      <c r="YX31" s="301"/>
      <c r="YY31" s="301"/>
      <c r="YZ31" s="301"/>
      <c r="ZA31" s="301"/>
      <c r="ZB31" s="301"/>
      <c r="ZC31" s="301"/>
      <c r="ZD31" s="301"/>
      <c r="ZE31" s="301"/>
      <c r="ZF31" s="301"/>
      <c r="ZG31" s="301"/>
      <c r="ZH31" s="301"/>
      <c r="ZI31" s="301"/>
      <c r="ZJ31" s="301"/>
      <c r="ZK31" s="301"/>
      <c r="ZL31" s="301"/>
      <c r="ZM31" s="301"/>
      <c r="ZN31" s="301"/>
      <c r="ZO31" s="301"/>
      <c r="ZP31" s="301"/>
      <c r="ZQ31" s="301"/>
      <c r="ZR31" s="301"/>
      <c r="ZS31" s="301"/>
      <c r="ZT31" s="301"/>
      <c r="ZU31" s="301"/>
      <c r="ZV31" s="301"/>
      <c r="ZW31" s="301"/>
      <c r="ZX31" s="301"/>
      <c r="ZY31" s="301"/>
      <c r="ZZ31" s="301"/>
      <c r="AAA31" s="301"/>
      <c r="AAB31" s="301"/>
      <c r="AAC31" s="301"/>
      <c r="AAD31" s="301"/>
      <c r="AAE31" s="301"/>
      <c r="AAF31" s="301"/>
      <c r="AAG31" s="301"/>
      <c r="AAH31" s="301"/>
      <c r="AAI31" s="301"/>
      <c r="AAJ31" s="301"/>
      <c r="AAK31" s="301"/>
      <c r="AAL31" s="301"/>
      <c r="AAM31" s="301"/>
      <c r="AAN31" s="301"/>
      <c r="AAO31" s="301"/>
      <c r="AAP31" s="301"/>
      <c r="AAQ31" s="301"/>
      <c r="AAR31" s="301"/>
      <c r="AAS31" s="301"/>
      <c r="AAT31" s="301"/>
      <c r="AAU31" s="301"/>
      <c r="AAV31" s="301"/>
      <c r="AAW31" s="301"/>
      <c r="AAX31" s="301"/>
      <c r="AAY31" s="301"/>
      <c r="AAZ31" s="301"/>
      <c r="ABA31" s="301"/>
      <c r="ABB31" s="301"/>
      <c r="ABC31" s="301"/>
      <c r="ABD31" s="301"/>
      <c r="ABE31" s="301"/>
      <c r="ABF31" s="301"/>
      <c r="ABG31" s="301"/>
      <c r="ABH31" s="301"/>
      <c r="ABI31" s="301"/>
      <c r="ABJ31" s="301"/>
      <c r="ABK31" s="301"/>
      <c r="ABL31" s="301"/>
      <c r="ABM31" s="301"/>
      <c r="ABN31" s="301"/>
      <c r="ABO31" s="301"/>
      <c r="ABP31" s="301"/>
      <c r="ABQ31" s="301"/>
      <c r="ABR31" s="301"/>
      <c r="ABS31" s="301"/>
      <c r="ABT31" s="301"/>
      <c r="ABU31" s="301"/>
      <c r="ABV31" s="301"/>
      <c r="ABW31" s="301"/>
      <c r="ABX31" s="301"/>
      <c r="ABY31" s="301"/>
      <c r="ABZ31" s="301"/>
      <c r="ACA31" s="301"/>
      <c r="ACB31" s="301"/>
      <c r="ACC31" s="301"/>
      <c r="ACD31" s="301"/>
      <c r="ACE31" s="301"/>
      <c r="ACF31" s="301"/>
      <c r="ACG31" s="301"/>
      <c r="ACH31" s="301"/>
      <c r="ACI31" s="301"/>
      <c r="ACJ31" s="301"/>
      <c r="ACK31" s="301"/>
      <c r="ACL31" s="301"/>
      <c r="ACM31" s="301"/>
      <c r="ACN31" s="301"/>
      <c r="ACO31" s="301"/>
      <c r="ACP31" s="301"/>
      <c r="ACQ31" s="301"/>
      <c r="ACR31" s="301"/>
      <c r="ACS31" s="301"/>
      <c r="ACT31" s="301"/>
      <c r="ACU31" s="301"/>
      <c r="ACV31" s="301"/>
      <c r="ACW31" s="301"/>
      <c r="ACX31" s="301"/>
      <c r="ACY31" s="301"/>
      <c r="ACZ31" s="301"/>
      <c r="ADA31" s="301"/>
      <c r="ADB31" s="301"/>
      <c r="ADC31" s="301"/>
      <c r="ADD31" s="301"/>
      <c r="ADE31" s="301"/>
      <c r="ADF31" s="301"/>
      <c r="ADG31" s="301"/>
      <c r="ADH31" s="301"/>
      <c r="ADI31" s="301"/>
      <c r="ADJ31" s="301"/>
      <c r="ADK31" s="301"/>
      <c r="ADL31" s="301"/>
      <c r="ADM31" s="301"/>
      <c r="ADN31" s="301"/>
      <c r="ADO31" s="301"/>
      <c r="ADP31" s="301"/>
      <c r="ADQ31" s="301"/>
      <c r="ADR31" s="301"/>
      <c r="ADS31" s="301"/>
      <c r="ADT31" s="301"/>
      <c r="ADU31" s="301"/>
      <c r="ADV31" s="301"/>
      <c r="ADW31" s="301"/>
      <c r="ADX31" s="301"/>
      <c r="ADY31" s="301"/>
      <c r="ADZ31" s="301"/>
      <c r="AEA31" s="301"/>
      <c r="AEB31" s="301"/>
      <c r="AEC31" s="301"/>
      <c r="AED31" s="301"/>
      <c r="AEE31" s="301"/>
      <c r="AEF31" s="301"/>
      <c r="AEG31" s="301"/>
      <c r="AEH31" s="301"/>
      <c r="AEI31" s="301"/>
      <c r="AEJ31" s="301"/>
      <c r="AEK31" s="301"/>
      <c r="AEL31" s="301"/>
      <c r="AEM31" s="301"/>
      <c r="AEN31" s="301"/>
      <c r="AEO31" s="301"/>
      <c r="AEP31" s="301"/>
      <c r="AEQ31" s="301"/>
      <c r="AER31" s="301"/>
      <c r="AES31" s="301"/>
      <c r="AET31" s="301"/>
      <c r="AEU31" s="301"/>
      <c r="AEV31" s="301"/>
      <c r="AEW31" s="301"/>
      <c r="AEX31" s="301"/>
      <c r="AEY31" s="301"/>
      <c r="AEZ31" s="301"/>
      <c r="AFA31" s="301"/>
      <c r="AFB31" s="301"/>
      <c r="AFC31" s="301"/>
      <c r="AFD31" s="301"/>
      <c r="AFE31" s="301"/>
      <c r="AFF31" s="301"/>
      <c r="AFG31" s="301"/>
      <c r="AFH31" s="301"/>
      <c r="AFI31" s="301"/>
      <c r="AFJ31" s="301"/>
      <c r="AFK31" s="301"/>
      <c r="AFL31" s="301"/>
      <c r="AFM31" s="301"/>
      <c r="AFN31" s="301"/>
      <c r="AFO31" s="301"/>
      <c r="AFP31" s="301"/>
      <c r="AFQ31" s="301"/>
      <c r="AFR31" s="301"/>
      <c r="AFS31" s="301"/>
      <c r="AFT31" s="301"/>
      <c r="AFU31" s="301"/>
      <c r="AFV31" s="301"/>
      <c r="AFW31" s="301"/>
      <c r="AFX31" s="301"/>
      <c r="AFY31" s="301"/>
      <c r="AFZ31" s="301"/>
      <c r="AGA31" s="301"/>
      <c r="AGB31" s="301"/>
      <c r="AGC31" s="301"/>
      <c r="AGD31" s="301"/>
      <c r="AGE31" s="301"/>
      <c r="AGF31" s="301"/>
      <c r="AGG31" s="301"/>
      <c r="AGH31" s="301"/>
      <c r="AGI31" s="301"/>
      <c r="AGJ31" s="301"/>
      <c r="AGK31" s="301"/>
      <c r="AGL31" s="301"/>
      <c r="AGM31" s="301"/>
      <c r="AGN31" s="301"/>
      <c r="AGO31" s="301"/>
      <c r="AGP31" s="301"/>
      <c r="AGQ31" s="301"/>
      <c r="AGR31" s="301"/>
      <c r="AGS31" s="301"/>
      <c r="AGT31" s="301"/>
      <c r="AGU31" s="301"/>
      <c r="AGV31" s="301"/>
      <c r="AGW31" s="301"/>
      <c r="AGX31" s="301"/>
      <c r="AGY31" s="301"/>
      <c r="AGZ31" s="301"/>
      <c r="AHA31" s="301"/>
      <c r="AHB31" s="301"/>
      <c r="AHC31" s="301"/>
      <c r="AHD31" s="301"/>
      <c r="AHE31" s="301"/>
      <c r="AHF31" s="301"/>
      <c r="AHG31" s="301"/>
      <c r="AHH31" s="301"/>
      <c r="AHI31" s="301"/>
      <c r="AHJ31" s="301"/>
      <c r="AHK31" s="301"/>
      <c r="AHL31" s="301"/>
      <c r="AHM31" s="301"/>
      <c r="AHN31" s="301"/>
      <c r="AHO31" s="301"/>
      <c r="AHP31" s="301"/>
      <c r="AHQ31" s="301"/>
      <c r="AHR31" s="301"/>
      <c r="AHS31" s="301"/>
      <c r="AHT31" s="301"/>
      <c r="AHU31" s="301"/>
      <c r="AHV31" s="301"/>
      <c r="AHW31" s="301"/>
      <c r="AHX31" s="301"/>
      <c r="AHY31" s="301"/>
      <c r="AHZ31" s="301"/>
      <c r="AIA31" s="301"/>
      <c r="AIB31" s="301"/>
      <c r="AIC31" s="301"/>
      <c r="AID31" s="301"/>
      <c r="AIE31" s="301"/>
      <c r="AIF31" s="301"/>
      <c r="AIG31" s="301"/>
      <c r="AIH31" s="301"/>
      <c r="AII31" s="301"/>
      <c r="AIJ31" s="301"/>
      <c r="AIK31" s="301"/>
      <c r="AIL31" s="301"/>
      <c r="AIM31" s="301"/>
      <c r="AIN31" s="301"/>
      <c r="AIO31" s="301"/>
      <c r="AIP31" s="301"/>
      <c r="AIQ31" s="301"/>
      <c r="AIR31" s="301"/>
      <c r="AIS31" s="301"/>
      <c r="AIT31" s="301"/>
      <c r="AIU31" s="301"/>
      <c r="AIV31" s="301"/>
      <c r="AIW31" s="301"/>
      <c r="AIX31" s="301"/>
      <c r="AIY31" s="301"/>
      <c r="AIZ31" s="301"/>
      <c r="AJA31" s="301"/>
      <c r="AJB31" s="301"/>
      <c r="AJC31" s="301"/>
      <c r="AJD31" s="301"/>
      <c r="AJE31" s="301"/>
      <c r="AJF31" s="301"/>
      <c r="AJG31" s="301"/>
      <c r="AJH31" s="301"/>
      <c r="AJI31" s="301"/>
      <c r="AJJ31" s="301"/>
      <c r="AJK31" s="301"/>
      <c r="AJL31" s="301"/>
      <c r="AJM31" s="301"/>
      <c r="AJN31" s="301"/>
      <c r="AJO31" s="301"/>
      <c r="AJP31" s="301"/>
      <c r="AJQ31" s="301"/>
      <c r="AJR31" s="301"/>
      <c r="AJS31" s="301"/>
      <c r="AJT31" s="301"/>
      <c r="AJU31" s="301"/>
      <c r="AJV31" s="301"/>
      <c r="AJW31" s="301"/>
      <c r="AJX31" s="301"/>
      <c r="AJY31" s="301"/>
      <c r="AJZ31" s="301"/>
      <c r="AKA31" s="301"/>
      <c r="AKB31" s="301"/>
      <c r="AKC31" s="301"/>
      <c r="AKD31" s="301"/>
      <c r="AKE31" s="301"/>
      <c r="AKF31" s="301"/>
      <c r="AKG31" s="301"/>
      <c r="AKH31" s="301"/>
      <c r="AKI31" s="301"/>
      <c r="AKJ31" s="301"/>
      <c r="AKK31" s="301"/>
      <c r="AKL31" s="301"/>
      <c r="AKM31" s="301"/>
      <c r="AKN31" s="301"/>
      <c r="AKO31" s="301"/>
      <c r="AKP31" s="301"/>
      <c r="AKQ31" s="301"/>
      <c r="AKR31" s="301"/>
      <c r="AKS31" s="301"/>
      <c r="AKT31" s="301"/>
      <c r="AKU31" s="301"/>
      <c r="AKV31" s="301"/>
      <c r="AKW31" s="301"/>
      <c r="AKX31" s="301"/>
      <c r="AKY31" s="301"/>
      <c r="AKZ31" s="301"/>
      <c r="ALA31" s="301"/>
      <c r="ALB31" s="301"/>
      <c r="ALC31" s="301"/>
      <c r="ALD31" s="301"/>
      <c r="ALE31" s="301"/>
      <c r="ALF31" s="301"/>
      <c r="ALG31" s="301"/>
      <c r="ALH31" s="301"/>
      <c r="ALI31" s="301"/>
      <c r="ALJ31" s="301"/>
      <c r="ALK31" s="301"/>
      <c r="ALL31" s="301"/>
      <c r="ALM31" s="301"/>
      <c r="ALN31" s="301"/>
      <c r="ALO31" s="301"/>
      <c r="ALP31" s="301"/>
      <c r="ALQ31" s="301"/>
      <c r="ALR31" s="301"/>
      <c r="ALS31" s="301"/>
      <c r="ALT31" s="301"/>
      <c r="ALU31" s="301"/>
      <c r="ALV31" s="301"/>
      <c r="ALW31" s="301"/>
      <c r="ALX31" s="301"/>
      <c r="ALY31" s="301"/>
      <c r="ALZ31" s="301"/>
      <c r="AMA31" s="301"/>
      <c r="AMB31" s="301"/>
      <c r="AMC31" s="301"/>
      <c r="AMD31" s="301"/>
      <c r="AME31" s="301"/>
      <c r="AMF31" s="301"/>
      <c r="AMG31" s="301"/>
      <c r="AMH31" s="301"/>
      <c r="AMI31" s="301"/>
      <c r="AMJ31" s="301"/>
    </row>
    <row r="32" customFormat="false" ht="12.8" hidden="false" customHeight="false" outlineLevel="0" collapsed="false">
      <c r="A32" s="299" t="s">
        <v>211</v>
      </c>
      <c r="B32" s="310"/>
      <c r="C32" s="311" t="str">
        <f aca="false">IF(B32&gt;0,1,"")</f>
        <v/>
      </c>
      <c r="D32" s="310"/>
      <c r="E32" s="311" t="str">
        <f aca="false">IF(D32&gt;0,1,"")</f>
        <v/>
      </c>
      <c r="F32" s="310" t="n">
        <v>0</v>
      </c>
      <c r="G32" s="311" t="str">
        <f aca="false">IF(F32&gt;0,1,"")</f>
        <v/>
      </c>
      <c r="H32" s="310"/>
      <c r="I32" s="311" t="str">
        <f aca="false">IF(H32&gt;0,1,"")</f>
        <v/>
      </c>
      <c r="J32" s="326" t="str">
        <f aca="false">IF(SUM(C32,E32,G32,I32)&gt;1,"ERROR",IF(B32&gt;=1,B32*52,IF(D32&gt;=1,D32*26,IF(F32&gt;=1,F32*12,IF(H32&gt;=1,H32*4,"")))))</f>
        <v/>
      </c>
      <c r="K32" s="301"/>
      <c r="L32" s="301"/>
      <c r="M32" s="301"/>
      <c r="N32" s="301"/>
      <c r="O32" s="301"/>
      <c r="P32" s="301"/>
      <c r="Q32" s="301"/>
      <c r="R32" s="301"/>
      <c r="S32" s="301"/>
      <c r="T32" s="301"/>
      <c r="U32" s="301"/>
      <c r="V32" s="301"/>
      <c r="W32" s="301"/>
      <c r="X32" s="301"/>
      <c r="Y32" s="301"/>
      <c r="Z32" s="301"/>
      <c r="AA32" s="301"/>
      <c r="AB32" s="301"/>
      <c r="AC32" s="301"/>
      <c r="AD32" s="301"/>
      <c r="AE32" s="301"/>
      <c r="AF32" s="301"/>
      <c r="AG32" s="301"/>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1"/>
      <c r="BH32" s="301"/>
      <c r="BI32" s="301"/>
      <c r="BJ32" s="301"/>
      <c r="BK32" s="301"/>
      <c r="BL32" s="301"/>
      <c r="BM32" s="301"/>
      <c r="BN32" s="301"/>
      <c r="BO32" s="301"/>
      <c r="BP32" s="301"/>
      <c r="BQ32" s="301"/>
      <c r="BR32" s="301"/>
      <c r="BS32" s="301"/>
      <c r="BT32" s="301"/>
      <c r="BU32" s="301"/>
      <c r="BV32" s="301"/>
      <c r="BW32" s="301"/>
      <c r="BX32" s="301"/>
      <c r="BY32" s="301"/>
      <c r="BZ32" s="301"/>
      <c r="CA32" s="301"/>
      <c r="CB32" s="301"/>
      <c r="CC32" s="301"/>
      <c r="CD32" s="301"/>
      <c r="CE32" s="301"/>
      <c r="CF32" s="301"/>
      <c r="CG32" s="301"/>
      <c r="CH32" s="301"/>
      <c r="CI32" s="301"/>
      <c r="CJ32" s="301"/>
      <c r="CK32" s="301"/>
      <c r="CL32" s="301"/>
      <c r="CM32" s="301"/>
      <c r="CN32" s="301"/>
      <c r="CO32" s="301"/>
      <c r="CP32" s="301"/>
      <c r="CQ32" s="301"/>
      <c r="CR32" s="301"/>
      <c r="CS32" s="301"/>
      <c r="CT32" s="301"/>
      <c r="CU32" s="301"/>
      <c r="CV32" s="301"/>
      <c r="CW32" s="301"/>
      <c r="CX32" s="301"/>
      <c r="CY32" s="301"/>
      <c r="CZ32" s="301"/>
      <c r="DA32" s="301"/>
      <c r="DB32" s="301"/>
      <c r="DC32" s="301"/>
      <c r="DD32" s="301"/>
      <c r="DE32" s="301"/>
      <c r="DF32" s="301"/>
      <c r="DG32" s="301"/>
      <c r="DH32" s="301"/>
      <c r="DI32" s="301"/>
      <c r="DJ32" s="301"/>
      <c r="DK32" s="301"/>
      <c r="DL32" s="301"/>
      <c r="DM32" s="301"/>
      <c r="DN32" s="301"/>
      <c r="DO32" s="301"/>
      <c r="DP32" s="301"/>
      <c r="DQ32" s="301"/>
      <c r="DR32" s="301"/>
      <c r="DS32" s="301"/>
      <c r="DT32" s="301"/>
      <c r="DU32" s="301"/>
      <c r="DV32" s="301"/>
      <c r="DW32" s="301"/>
      <c r="DX32" s="301"/>
      <c r="DY32" s="301"/>
      <c r="DZ32" s="301"/>
      <c r="EA32" s="301"/>
      <c r="EB32" s="301"/>
      <c r="EC32" s="301"/>
      <c r="ED32" s="301"/>
      <c r="EE32" s="301"/>
      <c r="EF32" s="301"/>
      <c r="EG32" s="301"/>
      <c r="EH32" s="301"/>
      <c r="EI32" s="301"/>
      <c r="EJ32" s="301"/>
      <c r="EK32" s="301"/>
      <c r="EL32" s="301"/>
      <c r="EM32" s="301"/>
      <c r="EN32" s="301"/>
      <c r="EO32" s="301"/>
      <c r="EP32" s="301"/>
      <c r="EQ32" s="301"/>
      <c r="ER32" s="301"/>
      <c r="ES32" s="301"/>
      <c r="ET32" s="301"/>
      <c r="EU32" s="301"/>
      <c r="EV32" s="301"/>
      <c r="EW32" s="301"/>
      <c r="EX32" s="301"/>
      <c r="EY32" s="301"/>
      <c r="EZ32" s="301"/>
      <c r="FA32" s="301"/>
      <c r="FB32" s="301"/>
      <c r="FC32" s="301"/>
      <c r="FD32" s="301"/>
      <c r="FE32" s="301"/>
      <c r="FF32" s="301"/>
      <c r="FG32" s="301"/>
      <c r="FH32" s="301"/>
      <c r="FI32" s="301"/>
      <c r="FJ32" s="301"/>
      <c r="FK32" s="301"/>
      <c r="FL32" s="301"/>
      <c r="FM32" s="301"/>
      <c r="FN32" s="301"/>
      <c r="FO32" s="301"/>
      <c r="FP32" s="301"/>
      <c r="FQ32" s="301"/>
      <c r="FR32" s="301"/>
      <c r="FS32" s="301"/>
      <c r="FT32" s="301"/>
      <c r="FU32" s="301"/>
      <c r="FV32" s="301"/>
      <c r="FW32" s="301"/>
      <c r="FX32" s="301"/>
      <c r="FY32" s="301"/>
      <c r="FZ32" s="301"/>
      <c r="GA32" s="301"/>
      <c r="GB32" s="301"/>
      <c r="GC32" s="301"/>
      <c r="GD32" s="301"/>
      <c r="GE32" s="301"/>
      <c r="GF32" s="301"/>
      <c r="GG32" s="301"/>
      <c r="GH32" s="301"/>
      <c r="GI32" s="301"/>
      <c r="GJ32" s="301"/>
      <c r="GK32" s="301"/>
      <c r="GL32" s="301"/>
      <c r="GM32" s="301"/>
      <c r="GN32" s="301"/>
      <c r="GO32" s="301"/>
      <c r="GP32" s="301"/>
      <c r="GQ32" s="301"/>
      <c r="GR32" s="301"/>
      <c r="GS32" s="301"/>
      <c r="GT32" s="301"/>
      <c r="GU32" s="301"/>
      <c r="GV32" s="301"/>
      <c r="GW32" s="301"/>
      <c r="GX32" s="301"/>
      <c r="GY32" s="301"/>
      <c r="GZ32" s="301"/>
      <c r="HA32" s="301"/>
      <c r="HB32" s="301"/>
      <c r="HC32" s="301"/>
      <c r="HD32" s="301"/>
      <c r="HE32" s="301"/>
      <c r="HF32" s="301"/>
      <c r="HG32" s="301"/>
      <c r="HH32" s="301"/>
      <c r="HI32" s="301"/>
      <c r="HJ32" s="301"/>
      <c r="HK32" s="301"/>
      <c r="HL32" s="301"/>
      <c r="HM32" s="301"/>
      <c r="HN32" s="301"/>
      <c r="HO32" s="301"/>
      <c r="HP32" s="301"/>
      <c r="HQ32" s="301"/>
      <c r="HR32" s="301"/>
      <c r="HS32" s="301"/>
      <c r="HT32" s="301"/>
      <c r="HU32" s="301"/>
      <c r="HV32" s="301"/>
      <c r="HW32" s="301"/>
      <c r="HX32" s="301"/>
      <c r="HY32" s="301"/>
      <c r="HZ32" s="301"/>
      <c r="IA32" s="301"/>
      <c r="IB32" s="301"/>
      <c r="IC32" s="301"/>
      <c r="ID32" s="301"/>
      <c r="IE32" s="301"/>
      <c r="IF32" s="301"/>
      <c r="IG32" s="301"/>
      <c r="IH32" s="301"/>
      <c r="II32" s="301"/>
      <c r="IJ32" s="301"/>
      <c r="IK32" s="301"/>
      <c r="IL32" s="301"/>
      <c r="IM32" s="301"/>
      <c r="IN32" s="301"/>
      <c r="IO32" s="301"/>
      <c r="IP32" s="301"/>
      <c r="IQ32" s="301"/>
      <c r="IR32" s="301"/>
      <c r="IS32" s="301"/>
      <c r="IT32" s="301"/>
      <c r="IU32" s="301"/>
      <c r="IV32" s="301"/>
      <c r="IW32" s="301"/>
      <c r="IX32" s="301"/>
      <c r="IY32" s="301"/>
      <c r="IZ32" s="301"/>
      <c r="JA32" s="301"/>
      <c r="JB32" s="301"/>
      <c r="JC32" s="301"/>
      <c r="JD32" s="301"/>
      <c r="JE32" s="301"/>
      <c r="JF32" s="301"/>
      <c r="JG32" s="301"/>
      <c r="JH32" s="301"/>
      <c r="JI32" s="301"/>
      <c r="JJ32" s="301"/>
      <c r="JK32" s="301"/>
      <c r="JL32" s="301"/>
      <c r="JM32" s="301"/>
      <c r="JN32" s="301"/>
      <c r="JO32" s="301"/>
      <c r="JP32" s="301"/>
      <c r="JQ32" s="301"/>
      <c r="JR32" s="301"/>
      <c r="JS32" s="301"/>
      <c r="JT32" s="301"/>
      <c r="JU32" s="301"/>
      <c r="JV32" s="301"/>
      <c r="JW32" s="301"/>
      <c r="JX32" s="301"/>
      <c r="JY32" s="301"/>
      <c r="JZ32" s="301"/>
      <c r="KA32" s="301"/>
      <c r="KB32" s="301"/>
      <c r="KC32" s="301"/>
      <c r="KD32" s="301"/>
      <c r="KE32" s="301"/>
      <c r="KF32" s="301"/>
      <c r="KG32" s="301"/>
      <c r="KH32" s="301"/>
      <c r="KI32" s="301"/>
      <c r="KJ32" s="301"/>
      <c r="KK32" s="301"/>
      <c r="KL32" s="301"/>
      <c r="KM32" s="301"/>
      <c r="KN32" s="301"/>
      <c r="KO32" s="301"/>
      <c r="KP32" s="301"/>
      <c r="KQ32" s="301"/>
      <c r="KR32" s="301"/>
      <c r="KS32" s="301"/>
      <c r="KT32" s="301"/>
      <c r="KU32" s="301"/>
      <c r="KV32" s="301"/>
      <c r="KW32" s="301"/>
      <c r="KX32" s="301"/>
      <c r="KY32" s="301"/>
      <c r="KZ32" s="301"/>
      <c r="LA32" s="301"/>
      <c r="LB32" s="301"/>
      <c r="LC32" s="301"/>
      <c r="LD32" s="301"/>
      <c r="LE32" s="301"/>
      <c r="LF32" s="301"/>
      <c r="LG32" s="301"/>
      <c r="LH32" s="301"/>
      <c r="LI32" s="301"/>
      <c r="LJ32" s="301"/>
      <c r="LK32" s="301"/>
      <c r="LL32" s="301"/>
      <c r="LM32" s="301"/>
      <c r="LN32" s="301"/>
      <c r="LO32" s="301"/>
      <c r="LP32" s="301"/>
      <c r="LQ32" s="301"/>
      <c r="LR32" s="301"/>
      <c r="LS32" s="301"/>
      <c r="LT32" s="301"/>
      <c r="LU32" s="301"/>
      <c r="LV32" s="301"/>
      <c r="LW32" s="301"/>
      <c r="LX32" s="301"/>
      <c r="LY32" s="301"/>
      <c r="LZ32" s="301"/>
      <c r="MA32" s="301"/>
      <c r="MB32" s="301"/>
      <c r="MC32" s="301"/>
      <c r="MD32" s="301"/>
      <c r="ME32" s="301"/>
      <c r="MF32" s="301"/>
      <c r="MG32" s="301"/>
      <c r="MH32" s="301"/>
      <c r="MI32" s="301"/>
      <c r="MJ32" s="301"/>
      <c r="MK32" s="301"/>
      <c r="ML32" s="301"/>
      <c r="MM32" s="301"/>
      <c r="MN32" s="301"/>
      <c r="MO32" s="301"/>
      <c r="MP32" s="301"/>
      <c r="MQ32" s="301"/>
      <c r="MR32" s="301"/>
      <c r="MS32" s="301"/>
      <c r="MT32" s="301"/>
      <c r="MU32" s="301"/>
      <c r="MV32" s="301"/>
      <c r="MW32" s="301"/>
      <c r="MX32" s="301"/>
      <c r="MY32" s="301"/>
      <c r="MZ32" s="301"/>
      <c r="NA32" s="301"/>
      <c r="NB32" s="301"/>
      <c r="NC32" s="301"/>
      <c r="ND32" s="301"/>
      <c r="NE32" s="301"/>
      <c r="NF32" s="301"/>
      <c r="NG32" s="301"/>
      <c r="NH32" s="301"/>
      <c r="NI32" s="301"/>
      <c r="NJ32" s="301"/>
      <c r="NK32" s="301"/>
      <c r="NL32" s="301"/>
      <c r="NM32" s="301"/>
      <c r="NN32" s="301"/>
      <c r="NO32" s="301"/>
      <c r="NP32" s="301"/>
      <c r="NQ32" s="301"/>
      <c r="NR32" s="301"/>
      <c r="NS32" s="301"/>
      <c r="NT32" s="301"/>
      <c r="NU32" s="301"/>
      <c r="NV32" s="301"/>
      <c r="NW32" s="301"/>
      <c r="NX32" s="301"/>
      <c r="NY32" s="301"/>
      <c r="NZ32" s="301"/>
      <c r="OA32" s="301"/>
      <c r="OB32" s="301"/>
      <c r="OC32" s="301"/>
      <c r="OD32" s="301"/>
      <c r="OE32" s="301"/>
      <c r="OF32" s="301"/>
      <c r="OG32" s="301"/>
      <c r="OH32" s="301"/>
      <c r="OI32" s="301"/>
      <c r="OJ32" s="301"/>
      <c r="OK32" s="301"/>
      <c r="OL32" s="301"/>
      <c r="OM32" s="301"/>
      <c r="ON32" s="301"/>
      <c r="OO32" s="301"/>
      <c r="OP32" s="301"/>
      <c r="OQ32" s="301"/>
      <c r="OR32" s="301"/>
      <c r="OS32" s="301"/>
      <c r="OT32" s="301"/>
      <c r="OU32" s="301"/>
      <c r="OV32" s="301"/>
      <c r="OW32" s="301"/>
      <c r="OX32" s="301"/>
      <c r="OY32" s="301"/>
      <c r="OZ32" s="301"/>
      <c r="PA32" s="301"/>
      <c r="PB32" s="301"/>
      <c r="PC32" s="301"/>
      <c r="PD32" s="301"/>
      <c r="PE32" s="301"/>
      <c r="PF32" s="301"/>
      <c r="PG32" s="301"/>
      <c r="PH32" s="301"/>
      <c r="PI32" s="301"/>
      <c r="PJ32" s="301"/>
      <c r="PK32" s="301"/>
      <c r="PL32" s="301"/>
      <c r="PM32" s="301"/>
      <c r="PN32" s="301"/>
      <c r="PO32" s="301"/>
      <c r="PP32" s="301"/>
      <c r="PQ32" s="301"/>
      <c r="PR32" s="301"/>
      <c r="PS32" s="301"/>
      <c r="PT32" s="301"/>
      <c r="PU32" s="301"/>
      <c r="PV32" s="301"/>
      <c r="PW32" s="301"/>
      <c r="PX32" s="301"/>
      <c r="PY32" s="301"/>
      <c r="PZ32" s="301"/>
      <c r="QA32" s="301"/>
      <c r="QB32" s="301"/>
      <c r="QC32" s="301"/>
      <c r="QD32" s="301"/>
      <c r="QE32" s="301"/>
      <c r="QF32" s="301"/>
      <c r="QG32" s="301"/>
      <c r="QH32" s="301"/>
      <c r="QI32" s="301"/>
      <c r="QJ32" s="301"/>
      <c r="QK32" s="301"/>
      <c r="QL32" s="301"/>
      <c r="QM32" s="301"/>
      <c r="QN32" s="301"/>
      <c r="QO32" s="301"/>
      <c r="QP32" s="301"/>
      <c r="QQ32" s="301"/>
      <c r="QR32" s="301"/>
      <c r="QS32" s="301"/>
      <c r="QT32" s="301"/>
      <c r="QU32" s="301"/>
      <c r="QV32" s="301"/>
      <c r="QW32" s="301"/>
      <c r="QX32" s="301"/>
      <c r="QY32" s="301"/>
      <c r="QZ32" s="301"/>
      <c r="RA32" s="301"/>
      <c r="RB32" s="301"/>
      <c r="RC32" s="301"/>
      <c r="RD32" s="301"/>
      <c r="RE32" s="301"/>
      <c r="RF32" s="301"/>
      <c r="RG32" s="301"/>
      <c r="RH32" s="301"/>
      <c r="RI32" s="301"/>
      <c r="RJ32" s="301"/>
      <c r="RK32" s="301"/>
      <c r="RL32" s="301"/>
      <c r="RM32" s="301"/>
      <c r="RN32" s="301"/>
      <c r="RO32" s="301"/>
      <c r="RP32" s="301"/>
      <c r="RQ32" s="301"/>
      <c r="RR32" s="301"/>
      <c r="RS32" s="301"/>
      <c r="RT32" s="301"/>
      <c r="RU32" s="301"/>
      <c r="RV32" s="301"/>
      <c r="RW32" s="301"/>
      <c r="RX32" s="301"/>
      <c r="RY32" s="301"/>
      <c r="RZ32" s="301"/>
      <c r="SA32" s="301"/>
      <c r="SB32" s="301"/>
      <c r="SC32" s="301"/>
      <c r="SD32" s="301"/>
      <c r="SE32" s="301"/>
      <c r="SF32" s="301"/>
      <c r="SG32" s="301"/>
      <c r="SH32" s="301"/>
      <c r="SI32" s="301"/>
      <c r="SJ32" s="301"/>
      <c r="SK32" s="301"/>
      <c r="SL32" s="301"/>
      <c r="SM32" s="301"/>
      <c r="SN32" s="301"/>
      <c r="SO32" s="301"/>
      <c r="SP32" s="301"/>
      <c r="SQ32" s="301"/>
      <c r="SR32" s="301"/>
      <c r="SS32" s="301"/>
      <c r="ST32" s="301"/>
      <c r="SU32" s="301"/>
      <c r="SV32" s="301"/>
      <c r="SW32" s="301"/>
      <c r="SX32" s="301"/>
      <c r="SY32" s="301"/>
      <c r="SZ32" s="301"/>
      <c r="TA32" s="301"/>
      <c r="TB32" s="301"/>
      <c r="TC32" s="301"/>
      <c r="TD32" s="301"/>
      <c r="TE32" s="301"/>
      <c r="TF32" s="301"/>
      <c r="TG32" s="301"/>
      <c r="TH32" s="301"/>
      <c r="TI32" s="301"/>
      <c r="TJ32" s="301"/>
      <c r="TK32" s="301"/>
      <c r="TL32" s="301"/>
      <c r="TM32" s="301"/>
      <c r="TN32" s="301"/>
      <c r="TO32" s="301"/>
      <c r="TP32" s="301"/>
      <c r="TQ32" s="301"/>
      <c r="TR32" s="301"/>
      <c r="TS32" s="301"/>
      <c r="TT32" s="301"/>
      <c r="TU32" s="301"/>
      <c r="TV32" s="301"/>
      <c r="TW32" s="301"/>
      <c r="TX32" s="301"/>
      <c r="TY32" s="301"/>
      <c r="TZ32" s="301"/>
      <c r="UA32" s="301"/>
      <c r="UB32" s="301"/>
      <c r="UC32" s="301"/>
      <c r="UD32" s="301"/>
      <c r="UE32" s="301"/>
      <c r="UF32" s="301"/>
      <c r="UG32" s="301"/>
      <c r="UH32" s="301"/>
      <c r="UI32" s="301"/>
      <c r="UJ32" s="301"/>
      <c r="UK32" s="301"/>
      <c r="UL32" s="301"/>
      <c r="UM32" s="301"/>
      <c r="UN32" s="301"/>
      <c r="UO32" s="301"/>
      <c r="UP32" s="301"/>
      <c r="UQ32" s="301"/>
      <c r="UR32" s="301"/>
      <c r="US32" s="301"/>
      <c r="UT32" s="301"/>
      <c r="UU32" s="301"/>
      <c r="UV32" s="301"/>
      <c r="UW32" s="301"/>
      <c r="UX32" s="301"/>
      <c r="UY32" s="301"/>
      <c r="UZ32" s="301"/>
      <c r="VA32" s="301"/>
      <c r="VB32" s="301"/>
      <c r="VC32" s="301"/>
      <c r="VD32" s="301"/>
      <c r="VE32" s="301"/>
      <c r="VF32" s="301"/>
      <c r="VG32" s="301"/>
      <c r="VH32" s="301"/>
      <c r="VI32" s="301"/>
      <c r="VJ32" s="301"/>
      <c r="VK32" s="301"/>
      <c r="VL32" s="301"/>
      <c r="VM32" s="301"/>
      <c r="VN32" s="301"/>
      <c r="VO32" s="301"/>
      <c r="VP32" s="301"/>
      <c r="VQ32" s="301"/>
      <c r="VR32" s="301"/>
      <c r="VS32" s="301"/>
      <c r="VT32" s="301"/>
      <c r="VU32" s="301"/>
      <c r="VV32" s="301"/>
      <c r="VW32" s="301"/>
      <c r="VX32" s="301"/>
      <c r="VY32" s="301"/>
      <c r="VZ32" s="301"/>
      <c r="WA32" s="301"/>
      <c r="WB32" s="301"/>
      <c r="WC32" s="301"/>
      <c r="WD32" s="301"/>
      <c r="WE32" s="301"/>
      <c r="WF32" s="301"/>
      <c r="WG32" s="301"/>
      <c r="WH32" s="301"/>
      <c r="WI32" s="301"/>
      <c r="WJ32" s="301"/>
      <c r="WK32" s="301"/>
      <c r="WL32" s="301"/>
      <c r="WM32" s="301"/>
      <c r="WN32" s="301"/>
      <c r="WO32" s="301"/>
      <c r="WP32" s="301"/>
      <c r="WQ32" s="301"/>
      <c r="WR32" s="301"/>
      <c r="WS32" s="301"/>
      <c r="WT32" s="301"/>
      <c r="WU32" s="301"/>
      <c r="WV32" s="301"/>
      <c r="WW32" s="301"/>
      <c r="WX32" s="301"/>
      <c r="WY32" s="301"/>
      <c r="WZ32" s="301"/>
      <c r="XA32" s="301"/>
      <c r="XB32" s="301"/>
      <c r="XC32" s="301"/>
      <c r="XD32" s="301"/>
      <c r="XE32" s="301"/>
      <c r="XF32" s="301"/>
      <c r="XG32" s="301"/>
      <c r="XH32" s="301"/>
      <c r="XI32" s="301"/>
      <c r="XJ32" s="301"/>
      <c r="XK32" s="301"/>
      <c r="XL32" s="301"/>
      <c r="XM32" s="301"/>
      <c r="XN32" s="301"/>
      <c r="XO32" s="301"/>
      <c r="XP32" s="301"/>
      <c r="XQ32" s="301"/>
      <c r="XR32" s="301"/>
      <c r="XS32" s="301"/>
      <c r="XT32" s="301"/>
      <c r="XU32" s="301"/>
      <c r="XV32" s="301"/>
      <c r="XW32" s="301"/>
      <c r="XX32" s="301"/>
      <c r="XY32" s="301"/>
      <c r="XZ32" s="301"/>
      <c r="YA32" s="301"/>
      <c r="YB32" s="301"/>
      <c r="YC32" s="301"/>
      <c r="YD32" s="301"/>
      <c r="YE32" s="301"/>
      <c r="YF32" s="301"/>
      <c r="YG32" s="301"/>
      <c r="YH32" s="301"/>
      <c r="YI32" s="301"/>
      <c r="YJ32" s="301"/>
      <c r="YK32" s="301"/>
      <c r="YL32" s="301"/>
      <c r="YM32" s="301"/>
      <c r="YN32" s="301"/>
      <c r="YO32" s="301"/>
      <c r="YP32" s="301"/>
      <c r="YQ32" s="301"/>
      <c r="YR32" s="301"/>
      <c r="YS32" s="301"/>
      <c r="YT32" s="301"/>
      <c r="YU32" s="301"/>
      <c r="YV32" s="301"/>
      <c r="YW32" s="301"/>
      <c r="YX32" s="301"/>
      <c r="YY32" s="301"/>
      <c r="YZ32" s="301"/>
      <c r="ZA32" s="301"/>
      <c r="ZB32" s="301"/>
      <c r="ZC32" s="301"/>
      <c r="ZD32" s="301"/>
      <c r="ZE32" s="301"/>
      <c r="ZF32" s="301"/>
      <c r="ZG32" s="301"/>
      <c r="ZH32" s="301"/>
      <c r="ZI32" s="301"/>
      <c r="ZJ32" s="301"/>
      <c r="ZK32" s="301"/>
      <c r="ZL32" s="301"/>
      <c r="ZM32" s="301"/>
      <c r="ZN32" s="301"/>
      <c r="ZO32" s="301"/>
      <c r="ZP32" s="301"/>
      <c r="ZQ32" s="301"/>
      <c r="ZR32" s="301"/>
      <c r="ZS32" s="301"/>
      <c r="ZT32" s="301"/>
      <c r="ZU32" s="301"/>
      <c r="ZV32" s="301"/>
      <c r="ZW32" s="301"/>
      <c r="ZX32" s="301"/>
      <c r="ZY32" s="301"/>
      <c r="ZZ32" s="301"/>
      <c r="AAA32" s="301"/>
      <c r="AAB32" s="301"/>
      <c r="AAC32" s="301"/>
      <c r="AAD32" s="301"/>
      <c r="AAE32" s="301"/>
      <c r="AAF32" s="301"/>
      <c r="AAG32" s="301"/>
      <c r="AAH32" s="301"/>
      <c r="AAI32" s="301"/>
      <c r="AAJ32" s="301"/>
      <c r="AAK32" s="301"/>
      <c r="AAL32" s="301"/>
      <c r="AAM32" s="301"/>
      <c r="AAN32" s="301"/>
      <c r="AAO32" s="301"/>
      <c r="AAP32" s="301"/>
      <c r="AAQ32" s="301"/>
      <c r="AAR32" s="301"/>
      <c r="AAS32" s="301"/>
      <c r="AAT32" s="301"/>
      <c r="AAU32" s="301"/>
      <c r="AAV32" s="301"/>
      <c r="AAW32" s="301"/>
      <c r="AAX32" s="301"/>
      <c r="AAY32" s="301"/>
      <c r="AAZ32" s="301"/>
      <c r="ABA32" s="301"/>
      <c r="ABB32" s="301"/>
      <c r="ABC32" s="301"/>
      <c r="ABD32" s="301"/>
      <c r="ABE32" s="301"/>
      <c r="ABF32" s="301"/>
      <c r="ABG32" s="301"/>
      <c r="ABH32" s="301"/>
      <c r="ABI32" s="301"/>
      <c r="ABJ32" s="301"/>
      <c r="ABK32" s="301"/>
      <c r="ABL32" s="301"/>
      <c r="ABM32" s="301"/>
      <c r="ABN32" s="301"/>
      <c r="ABO32" s="301"/>
      <c r="ABP32" s="301"/>
      <c r="ABQ32" s="301"/>
      <c r="ABR32" s="301"/>
      <c r="ABS32" s="301"/>
      <c r="ABT32" s="301"/>
      <c r="ABU32" s="301"/>
      <c r="ABV32" s="301"/>
      <c r="ABW32" s="301"/>
      <c r="ABX32" s="301"/>
      <c r="ABY32" s="301"/>
      <c r="ABZ32" s="301"/>
      <c r="ACA32" s="301"/>
      <c r="ACB32" s="301"/>
      <c r="ACC32" s="301"/>
      <c r="ACD32" s="301"/>
      <c r="ACE32" s="301"/>
      <c r="ACF32" s="301"/>
      <c r="ACG32" s="301"/>
      <c r="ACH32" s="301"/>
      <c r="ACI32" s="301"/>
      <c r="ACJ32" s="301"/>
      <c r="ACK32" s="301"/>
      <c r="ACL32" s="301"/>
      <c r="ACM32" s="301"/>
      <c r="ACN32" s="301"/>
      <c r="ACO32" s="301"/>
      <c r="ACP32" s="301"/>
      <c r="ACQ32" s="301"/>
      <c r="ACR32" s="301"/>
      <c r="ACS32" s="301"/>
      <c r="ACT32" s="301"/>
      <c r="ACU32" s="301"/>
      <c r="ACV32" s="301"/>
      <c r="ACW32" s="301"/>
      <c r="ACX32" s="301"/>
      <c r="ACY32" s="301"/>
      <c r="ACZ32" s="301"/>
      <c r="ADA32" s="301"/>
      <c r="ADB32" s="301"/>
      <c r="ADC32" s="301"/>
      <c r="ADD32" s="301"/>
      <c r="ADE32" s="301"/>
      <c r="ADF32" s="301"/>
      <c r="ADG32" s="301"/>
      <c r="ADH32" s="301"/>
      <c r="ADI32" s="301"/>
      <c r="ADJ32" s="301"/>
      <c r="ADK32" s="301"/>
      <c r="ADL32" s="301"/>
      <c r="ADM32" s="301"/>
      <c r="ADN32" s="301"/>
      <c r="ADO32" s="301"/>
      <c r="ADP32" s="301"/>
      <c r="ADQ32" s="301"/>
      <c r="ADR32" s="301"/>
      <c r="ADS32" s="301"/>
      <c r="ADT32" s="301"/>
      <c r="ADU32" s="301"/>
      <c r="ADV32" s="301"/>
      <c r="ADW32" s="301"/>
      <c r="ADX32" s="301"/>
      <c r="ADY32" s="301"/>
      <c r="ADZ32" s="301"/>
      <c r="AEA32" s="301"/>
      <c r="AEB32" s="301"/>
      <c r="AEC32" s="301"/>
      <c r="AED32" s="301"/>
      <c r="AEE32" s="301"/>
      <c r="AEF32" s="301"/>
      <c r="AEG32" s="301"/>
      <c r="AEH32" s="301"/>
      <c r="AEI32" s="301"/>
      <c r="AEJ32" s="301"/>
      <c r="AEK32" s="301"/>
      <c r="AEL32" s="301"/>
      <c r="AEM32" s="301"/>
      <c r="AEN32" s="301"/>
      <c r="AEO32" s="301"/>
      <c r="AEP32" s="301"/>
      <c r="AEQ32" s="301"/>
      <c r="AER32" s="301"/>
      <c r="AES32" s="301"/>
      <c r="AET32" s="301"/>
      <c r="AEU32" s="301"/>
      <c r="AEV32" s="301"/>
      <c r="AEW32" s="301"/>
      <c r="AEX32" s="301"/>
      <c r="AEY32" s="301"/>
      <c r="AEZ32" s="301"/>
      <c r="AFA32" s="301"/>
      <c r="AFB32" s="301"/>
      <c r="AFC32" s="301"/>
      <c r="AFD32" s="301"/>
      <c r="AFE32" s="301"/>
      <c r="AFF32" s="301"/>
      <c r="AFG32" s="301"/>
      <c r="AFH32" s="301"/>
      <c r="AFI32" s="301"/>
      <c r="AFJ32" s="301"/>
      <c r="AFK32" s="301"/>
      <c r="AFL32" s="301"/>
      <c r="AFM32" s="301"/>
      <c r="AFN32" s="301"/>
      <c r="AFO32" s="301"/>
      <c r="AFP32" s="301"/>
      <c r="AFQ32" s="301"/>
      <c r="AFR32" s="301"/>
      <c r="AFS32" s="301"/>
      <c r="AFT32" s="301"/>
      <c r="AFU32" s="301"/>
      <c r="AFV32" s="301"/>
      <c r="AFW32" s="301"/>
      <c r="AFX32" s="301"/>
      <c r="AFY32" s="301"/>
      <c r="AFZ32" s="301"/>
      <c r="AGA32" s="301"/>
      <c r="AGB32" s="301"/>
      <c r="AGC32" s="301"/>
      <c r="AGD32" s="301"/>
      <c r="AGE32" s="301"/>
      <c r="AGF32" s="301"/>
      <c r="AGG32" s="301"/>
      <c r="AGH32" s="301"/>
      <c r="AGI32" s="301"/>
      <c r="AGJ32" s="301"/>
      <c r="AGK32" s="301"/>
      <c r="AGL32" s="301"/>
      <c r="AGM32" s="301"/>
      <c r="AGN32" s="301"/>
      <c r="AGO32" s="301"/>
      <c r="AGP32" s="301"/>
      <c r="AGQ32" s="301"/>
      <c r="AGR32" s="301"/>
      <c r="AGS32" s="301"/>
      <c r="AGT32" s="301"/>
      <c r="AGU32" s="301"/>
      <c r="AGV32" s="301"/>
      <c r="AGW32" s="301"/>
      <c r="AGX32" s="301"/>
      <c r="AGY32" s="301"/>
      <c r="AGZ32" s="301"/>
      <c r="AHA32" s="301"/>
      <c r="AHB32" s="301"/>
      <c r="AHC32" s="301"/>
      <c r="AHD32" s="301"/>
      <c r="AHE32" s="301"/>
      <c r="AHF32" s="301"/>
      <c r="AHG32" s="301"/>
      <c r="AHH32" s="301"/>
      <c r="AHI32" s="301"/>
      <c r="AHJ32" s="301"/>
      <c r="AHK32" s="301"/>
      <c r="AHL32" s="301"/>
      <c r="AHM32" s="301"/>
      <c r="AHN32" s="301"/>
      <c r="AHO32" s="301"/>
      <c r="AHP32" s="301"/>
      <c r="AHQ32" s="301"/>
      <c r="AHR32" s="301"/>
      <c r="AHS32" s="301"/>
      <c r="AHT32" s="301"/>
      <c r="AHU32" s="301"/>
      <c r="AHV32" s="301"/>
      <c r="AHW32" s="301"/>
      <c r="AHX32" s="301"/>
      <c r="AHY32" s="301"/>
      <c r="AHZ32" s="301"/>
      <c r="AIA32" s="301"/>
      <c r="AIB32" s="301"/>
      <c r="AIC32" s="301"/>
      <c r="AID32" s="301"/>
      <c r="AIE32" s="301"/>
      <c r="AIF32" s="301"/>
      <c r="AIG32" s="301"/>
      <c r="AIH32" s="301"/>
      <c r="AII32" s="301"/>
      <c r="AIJ32" s="301"/>
      <c r="AIK32" s="301"/>
      <c r="AIL32" s="301"/>
      <c r="AIM32" s="301"/>
      <c r="AIN32" s="301"/>
      <c r="AIO32" s="301"/>
      <c r="AIP32" s="301"/>
      <c r="AIQ32" s="301"/>
      <c r="AIR32" s="301"/>
      <c r="AIS32" s="301"/>
      <c r="AIT32" s="301"/>
      <c r="AIU32" s="301"/>
      <c r="AIV32" s="301"/>
      <c r="AIW32" s="301"/>
      <c r="AIX32" s="301"/>
      <c r="AIY32" s="301"/>
      <c r="AIZ32" s="301"/>
      <c r="AJA32" s="301"/>
      <c r="AJB32" s="301"/>
      <c r="AJC32" s="301"/>
      <c r="AJD32" s="301"/>
      <c r="AJE32" s="301"/>
      <c r="AJF32" s="301"/>
      <c r="AJG32" s="301"/>
      <c r="AJH32" s="301"/>
      <c r="AJI32" s="301"/>
      <c r="AJJ32" s="301"/>
      <c r="AJK32" s="301"/>
      <c r="AJL32" s="301"/>
      <c r="AJM32" s="301"/>
      <c r="AJN32" s="301"/>
      <c r="AJO32" s="301"/>
      <c r="AJP32" s="301"/>
      <c r="AJQ32" s="301"/>
      <c r="AJR32" s="301"/>
      <c r="AJS32" s="301"/>
      <c r="AJT32" s="301"/>
      <c r="AJU32" s="301"/>
      <c r="AJV32" s="301"/>
      <c r="AJW32" s="301"/>
      <c r="AJX32" s="301"/>
      <c r="AJY32" s="301"/>
      <c r="AJZ32" s="301"/>
      <c r="AKA32" s="301"/>
      <c r="AKB32" s="301"/>
      <c r="AKC32" s="301"/>
      <c r="AKD32" s="301"/>
      <c r="AKE32" s="301"/>
      <c r="AKF32" s="301"/>
      <c r="AKG32" s="301"/>
      <c r="AKH32" s="301"/>
      <c r="AKI32" s="301"/>
      <c r="AKJ32" s="301"/>
      <c r="AKK32" s="301"/>
      <c r="AKL32" s="301"/>
      <c r="AKM32" s="301"/>
      <c r="AKN32" s="301"/>
      <c r="AKO32" s="301"/>
      <c r="AKP32" s="301"/>
      <c r="AKQ32" s="301"/>
      <c r="AKR32" s="301"/>
      <c r="AKS32" s="301"/>
      <c r="AKT32" s="301"/>
      <c r="AKU32" s="301"/>
      <c r="AKV32" s="301"/>
      <c r="AKW32" s="301"/>
      <c r="AKX32" s="301"/>
      <c r="AKY32" s="301"/>
      <c r="AKZ32" s="301"/>
      <c r="ALA32" s="301"/>
      <c r="ALB32" s="301"/>
      <c r="ALC32" s="301"/>
      <c r="ALD32" s="301"/>
      <c r="ALE32" s="301"/>
      <c r="ALF32" s="301"/>
      <c r="ALG32" s="301"/>
      <c r="ALH32" s="301"/>
      <c r="ALI32" s="301"/>
      <c r="ALJ32" s="301"/>
      <c r="ALK32" s="301"/>
      <c r="ALL32" s="301"/>
      <c r="ALM32" s="301"/>
      <c r="ALN32" s="301"/>
      <c r="ALO32" s="301"/>
      <c r="ALP32" s="301"/>
      <c r="ALQ32" s="301"/>
      <c r="ALR32" s="301"/>
      <c r="ALS32" s="301"/>
      <c r="ALT32" s="301"/>
      <c r="ALU32" s="301"/>
      <c r="ALV32" s="301"/>
      <c r="ALW32" s="301"/>
      <c r="ALX32" s="301"/>
      <c r="ALY32" s="301"/>
      <c r="ALZ32" s="301"/>
      <c r="AMA32" s="301"/>
      <c r="AMB32" s="301"/>
      <c r="AMC32" s="301"/>
      <c r="AMD32" s="301"/>
      <c r="AME32" s="301"/>
      <c r="AMF32" s="301"/>
      <c r="AMG32" s="301"/>
      <c r="AMH32" s="301"/>
      <c r="AMI32" s="301"/>
      <c r="AMJ32" s="301"/>
    </row>
    <row r="33" customFormat="false" ht="12.8" hidden="false" customHeight="false" outlineLevel="0" collapsed="false">
      <c r="A33" s="299" t="s">
        <v>212</v>
      </c>
      <c r="B33" s="310"/>
      <c r="C33" s="311" t="str">
        <f aca="false">IF(B33&gt;0,1,"")</f>
        <v/>
      </c>
      <c r="D33" s="310"/>
      <c r="E33" s="311" t="str">
        <f aca="false">IF(D33&gt;0,1,"")</f>
        <v/>
      </c>
      <c r="F33" s="310" t="n">
        <v>0</v>
      </c>
      <c r="G33" s="311" t="str">
        <f aca="false">IF(F33&gt;0,1,"")</f>
        <v/>
      </c>
      <c r="H33" s="310"/>
      <c r="I33" s="311" t="str">
        <f aca="false">IF(H33&gt;0,1,"")</f>
        <v/>
      </c>
      <c r="J33" s="326" t="str">
        <f aca="false">IF(SUM(C33,E33,G33,I33)&gt;1,"ERROR",IF(B33&gt;=1,B33*52,IF(D33&gt;=1,D33*26,IF(F33&gt;=1,F33*12,IF(H33&gt;=1,H33*4,"")))))</f>
        <v/>
      </c>
      <c r="K33" s="301"/>
      <c r="L33" s="301"/>
      <c r="M33" s="301"/>
      <c r="N33" s="301"/>
      <c r="O33" s="301"/>
      <c r="P33" s="301"/>
      <c r="Q33" s="301"/>
      <c r="R33" s="301"/>
      <c r="S33" s="301"/>
      <c r="T33" s="301"/>
      <c r="U33" s="301"/>
      <c r="V33" s="301"/>
      <c r="W33" s="301"/>
      <c r="X33" s="301"/>
      <c r="Y33" s="301"/>
      <c r="Z33" s="301"/>
      <c r="AA33" s="301"/>
      <c r="AB33" s="301"/>
      <c r="AC33" s="301"/>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301"/>
      <c r="BD33" s="301"/>
      <c r="BE33" s="301"/>
      <c r="BF33" s="301"/>
      <c r="BG33" s="301"/>
      <c r="BH33" s="301"/>
      <c r="BI33" s="301"/>
      <c r="BJ33" s="301"/>
      <c r="BK33" s="301"/>
      <c r="BL33" s="301"/>
      <c r="BM33" s="301"/>
      <c r="BN33" s="301"/>
      <c r="BO33" s="301"/>
      <c r="BP33" s="301"/>
      <c r="BQ33" s="301"/>
      <c r="BR33" s="301"/>
      <c r="BS33" s="301"/>
      <c r="BT33" s="301"/>
      <c r="BU33" s="301"/>
      <c r="BV33" s="301"/>
      <c r="BW33" s="301"/>
      <c r="BX33" s="301"/>
      <c r="BY33" s="301"/>
      <c r="BZ33" s="301"/>
      <c r="CA33" s="301"/>
      <c r="CB33" s="301"/>
      <c r="CC33" s="301"/>
      <c r="CD33" s="301"/>
      <c r="CE33" s="301"/>
      <c r="CF33" s="301"/>
      <c r="CG33" s="301"/>
      <c r="CH33" s="301"/>
      <c r="CI33" s="301"/>
      <c r="CJ33" s="301"/>
      <c r="CK33" s="301"/>
      <c r="CL33" s="301"/>
      <c r="CM33" s="301"/>
      <c r="CN33" s="301"/>
      <c r="CO33" s="301"/>
      <c r="CP33" s="301"/>
      <c r="CQ33" s="301"/>
      <c r="CR33" s="301"/>
      <c r="CS33" s="301"/>
      <c r="CT33" s="301"/>
      <c r="CU33" s="301"/>
      <c r="CV33" s="301"/>
      <c r="CW33" s="301"/>
      <c r="CX33" s="301"/>
      <c r="CY33" s="301"/>
      <c r="CZ33" s="301"/>
      <c r="DA33" s="301"/>
      <c r="DB33" s="301"/>
      <c r="DC33" s="301"/>
      <c r="DD33" s="301"/>
      <c r="DE33" s="301"/>
      <c r="DF33" s="301"/>
      <c r="DG33" s="301"/>
      <c r="DH33" s="301"/>
      <c r="DI33" s="301"/>
      <c r="DJ33" s="301"/>
      <c r="DK33" s="301"/>
      <c r="DL33" s="301"/>
      <c r="DM33" s="301"/>
      <c r="DN33" s="301"/>
      <c r="DO33" s="301"/>
      <c r="DP33" s="301"/>
      <c r="DQ33" s="301"/>
      <c r="DR33" s="301"/>
      <c r="DS33" s="301"/>
      <c r="DT33" s="301"/>
      <c r="DU33" s="301"/>
      <c r="DV33" s="301"/>
      <c r="DW33" s="301"/>
      <c r="DX33" s="301"/>
      <c r="DY33" s="301"/>
      <c r="DZ33" s="301"/>
      <c r="EA33" s="301"/>
      <c r="EB33" s="301"/>
      <c r="EC33" s="301"/>
      <c r="ED33" s="301"/>
      <c r="EE33" s="301"/>
      <c r="EF33" s="301"/>
      <c r="EG33" s="301"/>
      <c r="EH33" s="301"/>
      <c r="EI33" s="301"/>
      <c r="EJ33" s="301"/>
      <c r="EK33" s="301"/>
      <c r="EL33" s="301"/>
      <c r="EM33" s="301"/>
      <c r="EN33" s="301"/>
      <c r="EO33" s="301"/>
      <c r="EP33" s="301"/>
      <c r="EQ33" s="301"/>
      <c r="ER33" s="301"/>
      <c r="ES33" s="301"/>
      <c r="ET33" s="301"/>
      <c r="EU33" s="301"/>
      <c r="EV33" s="301"/>
      <c r="EW33" s="301"/>
      <c r="EX33" s="301"/>
      <c r="EY33" s="301"/>
      <c r="EZ33" s="301"/>
      <c r="FA33" s="301"/>
      <c r="FB33" s="301"/>
      <c r="FC33" s="301"/>
      <c r="FD33" s="301"/>
      <c r="FE33" s="301"/>
      <c r="FF33" s="301"/>
      <c r="FG33" s="301"/>
      <c r="FH33" s="301"/>
      <c r="FI33" s="301"/>
      <c r="FJ33" s="301"/>
      <c r="FK33" s="301"/>
      <c r="FL33" s="301"/>
      <c r="FM33" s="301"/>
      <c r="FN33" s="301"/>
      <c r="FO33" s="301"/>
      <c r="FP33" s="301"/>
      <c r="FQ33" s="301"/>
      <c r="FR33" s="301"/>
      <c r="FS33" s="301"/>
      <c r="FT33" s="301"/>
      <c r="FU33" s="301"/>
      <c r="FV33" s="301"/>
      <c r="FW33" s="301"/>
      <c r="FX33" s="301"/>
      <c r="FY33" s="301"/>
      <c r="FZ33" s="301"/>
      <c r="GA33" s="301"/>
      <c r="GB33" s="301"/>
      <c r="GC33" s="301"/>
      <c r="GD33" s="301"/>
      <c r="GE33" s="301"/>
      <c r="GF33" s="301"/>
      <c r="GG33" s="301"/>
      <c r="GH33" s="301"/>
      <c r="GI33" s="301"/>
      <c r="GJ33" s="301"/>
      <c r="GK33" s="301"/>
      <c r="GL33" s="301"/>
      <c r="GM33" s="301"/>
      <c r="GN33" s="301"/>
      <c r="GO33" s="301"/>
      <c r="GP33" s="301"/>
      <c r="GQ33" s="301"/>
      <c r="GR33" s="301"/>
      <c r="GS33" s="301"/>
      <c r="GT33" s="301"/>
      <c r="GU33" s="301"/>
      <c r="GV33" s="301"/>
      <c r="GW33" s="301"/>
      <c r="GX33" s="301"/>
      <c r="GY33" s="301"/>
      <c r="GZ33" s="301"/>
      <c r="HA33" s="301"/>
      <c r="HB33" s="301"/>
      <c r="HC33" s="301"/>
      <c r="HD33" s="301"/>
      <c r="HE33" s="301"/>
      <c r="HF33" s="301"/>
      <c r="HG33" s="301"/>
      <c r="HH33" s="301"/>
      <c r="HI33" s="301"/>
      <c r="HJ33" s="301"/>
      <c r="HK33" s="301"/>
      <c r="HL33" s="301"/>
      <c r="HM33" s="301"/>
      <c r="HN33" s="301"/>
      <c r="HO33" s="301"/>
      <c r="HP33" s="301"/>
      <c r="HQ33" s="301"/>
      <c r="HR33" s="301"/>
      <c r="HS33" s="301"/>
      <c r="HT33" s="301"/>
      <c r="HU33" s="301"/>
      <c r="HV33" s="301"/>
      <c r="HW33" s="301"/>
      <c r="HX33" s="301"/>
      <c r="HY33" s="301"/>
      <c r="HZ33" s="301"/>
      <c r="IA33" s="301"/>
      <c r="IB33" s="301"/>
      <c r="IC33" s="301"/>
      <c r="ID33" s="301"/>
      <c r="IE33" s="301"/>
      <c r="IF33" s="301"/>
      <c r="IG33" s="301"/>
      <c r="IH33" s="301"/>
      <c r="II33" s="301"/>
      <c r="IJ33" s="301"/>
      <c r="IK33" s="301"/>
      <c r="IL33" s="301"/>
      <c r="IM33" s="301"/>
      <c r="IN33" s="301"/>
      <c r="IO33" s="301"/>
      <c r="IP33" s="301"/>
      <c r="IQ33" s="301"/>
      <c r="IR33" s="301"/>
      <c r="IS33" s="301"/>
      <c r="IT33" s="301"/>
      <c r="IU33" s="301"/>
      <c r="IV33" s="301"/>
      <c r="IW33" s="301"/>
      <c r="IX33" s="301"/>
      <c r="IY33" s="301"/>
      <c r="IZ33" s="301"/>
      <c r="JA33" s="301"/>
      <c r="JB33" s="301"/>
      <c r="JC33" s="301"/>
      <c r="JD33" s="301"/>
      <c r="JE33" s="301"/>
      <c r="JF33" s="301"/>
      <c r="JG33" s="301"/>
      <c r="JH33" s="301"/>
      <c r="JI33" s="301"/>
      <c r="JJ33" s="301"/>
      <c r="JK33" s="301"/>
      <c r="JL33" s="301"/>
      <c r="JM33" s="301"/>
      <c r="JN33" s="301"/>
      <c r="JO33" s="301"/>
      <c r="JP33" s="301"/>
      <c r="JQ33" s="301"/>
      <c r="JR33" s="301"/>
      <c r="JS33" s="301"/>
      <c r="JT33" s="301"/>
      <c r="JU33" s="301"/>
      <c r="JV33" s="301"/>
      <c r="JW33" s="301"/>
      <c r="JX33" s="301"/>
      <c r="JY33" s="301"/>
      <c r="JZ33" s="301"/>
      <c r="KA33" s="301"/>
      <c r="KB33" s="301"/>
      <c r="KC33" s="301"/>
      <c r="KD33" s="301"/>
      <c r="KE33" s="301"/>
      <c r="KF33" s="301"/>
      <c r="KG33" s="301"/>
      <c r="KH33" s="301"/>
      <c r="KI33" s="301"/>
      <c r="KJ33" s="301"/>
      <c r="KK33" s="301"/>
      <c r="KL33" s="301"/>
      <c r="KM33" s="301"/>
      <c r="KN33" s="301"/>
      <c r="KO33" s="301"/>
      <c r="KP33" s="301"/>
      <c r="KQ33" s="301"/>
      <c r="KR33" s="301"/>
      <c r="KS33" s="301"/>
      <c r="KT33" s="301"/>
      <c r="KU33" s="301"/>
      <c r="KV33" s="301"/>
      <c r="KW33" s="301"/>
      <c r="KX33" s="301"/>
      <c r="KY33" s="301"/>
      <c r="KZ33" s="301"/>
      <c r="LA33" s="301"/>
      <c r="LB33" s="301"/>
      <c r="LC33" s="301"/>
      <c r="LD33" s="301"/>
      <c r="LE33" s="301"/>
      <c r="LF33" s="301"/>
      <c r="LG33" s="301"/>
      <c r="LH33" s="301"/>
      <c r="LI33" s="301"/>
      <c r="LJ33" s="301"/>
      <c r="LK33" s="301"/>
      <c r="LL33" s="301"/>
      <c r="LM33" s="301"/>
      <c r="LN33" s="301"/>
      <c r="LO33" s="301"/>
      <c r="LP33" s="301"/>
      <c r="LQ33" s="301"/>
      <c r="LR33" s="301"/>
      <c r="LS33" s="301"/>
      <c r="LT33" s="301"/>
      <c r="LU33" s="301"/>
      <c r="LV33" s="301"/>
      <c r="LW33" s="301"/>
      <c r="LX33" s="301"/>
      <c r="LY33" s="301"/>
      <c r="LZ33" s="301"/>
      <c r="MA33" s="301"/>
      <c r="MB33" s="301"/>
      <c r="MC33" s="301"/>
      <c r="MD33" s="301"/>
      <c r="ME33" s="301"/>
      <c r="MF33" s="301"/>
      <c r="MG33" s="301"/>
      <c r="MH33" s="301"/>
      <c r="MI33" s="301"/>
      <c r="MJ33" s="301"/>
      <c r="MK33" s="301"/>
      <c r="ML33" s="301"/>
      <c r="MM33" s="301"/>
      <c r="MN33" s="301"/>
      <c r="MO33" s="301"/>
      <c r="MP33" s="301"/>
      <c r="MQ33" s="301"/>
      <c r="MR33" s="301"/>
      <c r="MS33" s="301"/>
      <c r="MT33" s="301"/>
      <c r="MU33" s="301"/>
      <c r="MV33" s="301"/>
      <c r="MW33" s="301"/>
      <c r="MX33" s="301"/>
      <c r="MY33" s="301"/>
      <c r="MZ33" s="301"/>
      <c r="NA33" s="301"/>
      <c r="NB33" s="301"/>
      <c r="NC33" s="301"/>
      <c r="ND33" s="301"/>
      <c r="NE33" s="301"/>
      <c r="NF33" s="301"/>
      <c r="NG33" s="301"/>
      <c r="NH33" s="301"/>
      <c r="NI33" s="301"/>
      <c r="NJ33" s="301"/>
      <c r="NK33" s="301"/>
      <c r="NL33" s="301"/>
      <c r="NM33" s="301"/>
      <c r="NN33" s="301"/>
      <c r="NO33" s="301"/>
      <c r="NP33" s="301"/>
      <c r="NQ33" s="301"/>
      <c r="NR33" s="301"/>
      <c r="NS33" s="301"/>
      <c r="NT33" s="301"/>
      <c r="NU33" s="301"/>
      <c r="NV33" s="301"/>
      <c r="NW33" s="301"/>
      <c r="NX33" s="301"/>
      <c r="NY33" s="301"/>
      <c r="NZ33" s="301"/>
      <c r="OA33" s="301"/>
      <c r="OB33" s="301"/>
      <c r="OC33" s="301"/>
      <c r="OD33" s="301"/>
      <c r="OE33" s="301"/>
      <c r="OF33" s="301"/>
      <c r="OG33" s="301"/>
      <c r="OH33" s="301"/>
      <c r="OI33" s="301"/>
      <c r="OJ33" s="301"/>
      <c r="OK33" s="301"/>
      <c r="OL33" s="301"/>
      <c r="OM33" s="301"/>
      <c r="ON33" s="301"/>
      <c r="OO33" s="301"/>
      <c r="OP33" s="301"/>
      <c r="OQ33" s="301"/>
      <c r="OR33" s="301"/>
      <c r="OS33" s="301"/>
      <c r="OT33" s="301"/>
      <c r="OU33" s="301"/>
      <c r="OV33" s="301"/>
      <c r="OW33" s="301"/>
      <c r="OX33" s="301"/>
      <c r="OY33" s="301"/>
      <c r="OZ33" s="301"/>
      <c r="PA33" s="301"/>
      <c r="PB33" s="301"/>
      <c r="PC33" s="301"/>
      <c r="PD33" s="301"/>
      <c r="PE33" s="301"/>
      <c r="PF33" s="301"/>
      <c r="PG33" s="301"/>
      <c r="PH33" s="301"/>
      <c r="PI33" s="301"/>
      <c r="PJ33" s="301"/>
      <c r="PK33" s="301"/>
      <c r="PL33" s="301"/>
      <c r="PM33" s="301"/>
      <c r="PN33" s="301"/>
      <c r="PO33" s="301"/>
      <c r="PP33" s="301"/>
      <c r="PQ33" s="301"/>
      <c r="PR33" s="301"/>
      <c r="PS33" s="301"/>
      <c r="PT33" s="301"/>
      <c r="PU33" s="301"/>
      <c r="PV33" s="301"/>
      <c r="PW33" s="301"/>
      <c r="PX33" s="301"/>
      <c r="PY33" s="301"/>
      <c r="PZ33" s="301"/>
      <c r="QA33" s="301"/>
      <c r="QB33" s="301"/>
      <c r="QC33" s="301"/>
      <c r="QD33" s="301"/>
      <c r="QE33" s="301"/>
      <c r="QF33" s="301"/>
      <c r="QG33" s="301"/>
      <c r="QH33" s="301"/>
      <c r="QI33" s="301"/>
      <c r="QJ33" s="301"/>
      <c r="QK33" s="301"/>
      <c r="QL33" s="301"/>
      <c r="QM33" s="301"/>
      <c r="QN33" s="301"/>
      <c r="QO33" s="301"/>
      <c r="QP33" s="301"/>
      <c r="QQ33" s="301"/>
      <c r="QR33" s="301"/>
      <c r="QS33" s="301"/>
      <c r="QT33" s="301"/>
      <c r="QU33" s="301"/>
      <c r="QV33" s="301"/>
      <c r="QW33" s="301"/>
      <c r="QX33" s="301"/>
      <c r="QY33" s="301"/>
      <c r="QZ33" s="301"/>
      <c r="RA33" s="301"/>
      <c r="RB33" s="301"/>
      <c r="RC33" s="301"/>
      <c r="RD33" s="301"/>
      <c r="RE33" s="301"/>
      <c r="RF33" s="301"/>
      <c r="RG33" s="301"/>
      <c r="RH33" s="301"/>
      <c r="RI33" s="301"/>
      <c r="RJ33" s="301"/>
      <c r="RK33" s="301"/>
      <c r="RL33" s="301"/>
      <c r="RM33" s="301"/>
      <c r="RN33" s="301"/>
      <c r="RO33" s="301"/>
      <c r="RP33" s="301"/>
      <c r="RQ33" s="301"/>
      <c r="RR33" s="301"/>
      <c r="RS33" s="301"/>
      <c r="RT33" s="301"/>
      <c r="RU33" s="301"/>
      <c r="RV33" s="301"/>
      <c r="RW33" s="301"/>
      <c r="RX33" s="301"/>
      <c r="RY33" s="301"/>
      <c r="RZ33" s="301"/>
      <c r="SA33" s="301"/>
      <c r="SB33" s="301"/>
      <c r="SC33" s="301"/>
      <c r="SD33" s="301"/>
      <c r="SE33" s="301"/>
      <c r="SF33" s="301"/>
      <c r="SG33" s="301"/>
      <c r="SH33" s="301"/>
      <c r="SI33" s="301"/>
      <c r="SJ33" s="301"/>
      <c r="SK33" s="301"/>
      <c r="SL33" s="301"/>
      <c r="SM33" s="301"/>
      <c r="SN33" s="301"/>
      <c r="SO33" s="301"/>
      <c r="SP33" s="301"/>
      <c r="SQ33" s="301"/>
      <c r="SR33" s="301"/>
      <c r="SS33" s="301"/>
      <c r="ST33" s="301"/>
      <c r="SU33" s="301"/>
      <c r="SV33" s="301"/>
      <c r="SW33" s="301"/>
      <c r="SX33" s="301"/>
      <c r="SY33" s="301"/>
      <c r="SZ33" s="301"/>
      <c r="TA33" s="301"/>
      <c r="TB33" s="301"/>
      <c r="TC33" s="301"/>
      <c r="TD33" s="301"/>
      <c r="TE33" s="301"/>
      <c r="TF33" s="301"/>
      <c r="TG33" s="301"/>
      <c r="TH33" s="301"/>
      <c r="TI33" s="301"/>
      <c r="TJ33" s="301"/>
      <c r="TK33" s="301"/>
      <c r="TL33" s="301"/>
      <c r="TM33" s="301"/>
      <c r="TN33" s="301"/>
      <c r="TO33" s="301"/>
      <c r="TP33" s="301"/>
      <c r="TQ33" s="301"/>
      <c r="TR33" s="301"/>
      <c r="TS33" s="301"/>
      <c r="TT33" s="301"/>
      <c r="TU33" s="301"/>
      <c r="TV33" s="301"/>
      <c r="TW33" s="301"/>
      <c r="TX33" s="301"/>
      <c r="TY33" s="301"/>
      <c r="TZ33" s="301"/>
      <c r="UA33" s="301"/>
      <c r="UB33" s="301"/>
      <c r="UC33" s="301"/>
      <c r="UD33" s="301"/>
      <c r="UE33" s="301"/>
      <c r="UF33" s="301"/>
      <c r="UG33" s="301"/>
      <c r="UH33" s="301"/>
      <c r="UI33" s="301"/>
      <c r="UJ33" s="301"/>
      <c r="UK33" s="301"/>
      <c r="UL33" s="301"/>
      <c r="UM33" s="301"/>
      <c r="UN33" s="301"/>
      <c r="UO33" s="301"/>
      <c r="UP33" s="301"/>
      <c r="UQ33" s="301"/>
      <c r="UR33" s="301"/>
      <c r="US33" s="301"/>
      <c r="UT33" s="301"/>
      <c r="UU33" s="301"/>
      <c r="UV33" s="301"/>
      <c r="UW33" s="301"/>
      <c r="UX33" s="301"/>
      <c r="UY33" s="301"/>
      <c r="UZ33" s="301"/>
      <c r="VA33" s="301"/>
      <c r="VB33" s="301"/>
      <c r="VC33" s="301"/>
      <c r="VD33" s="301"/>
      <c r="VE33" s="301"/>
      <c r="VF33" s="301"/>
      <c r="VG33" s="301"/>
      <c r="VH33" s="301"/>
      <c r="VI33" s="301"/>
      <c r="VJ33" s="301"/>
      <c r="VK33" s="301"/>
      <c r="VL33" s="301"/>
      <c r="VM33" s="301"/>
      <c r="VN33" s="301"/>
      <c r="VO33" s="301"/>
      <c r="VP33" s="301"/>
      <c r="VQ33" s="301"/>
      <c r="VR33" s="301"/>
      <c r="VS33" s="301"/>
      <c r="VT33" s="301"/>
      <c r="VU33" s="301"/>
      <c r="VV33" s="301"/>
      <c r="VW33" s="301"/>
      <c r="VX33" s="301"/>
      <c r="VY33" s="301"/>
      <c r="VZ33" s="301"/>
      <c r="WA33" s="301"/>
      <c r="WB33" s="301"/>
      <c r="WC33" s="301"/>
      <c r="WD33" s="301"/>
      <c r="WE33" s="301"/>
      <c r="WF33" s="301"/>
      <c r="WG33" s="301"/>
      <c r="WH33" s="301"/>
      <c r="WI33" s="301"/>
      <c r="WJ33" s="301"/>
      <c r="WK33" s="301"/>
      <c r="WL33" s="301"/>
      <c r="WM33" s="301"/>
      <c r="WN33" s="301"/>
      <c r="WO33" s="301"/>
      <c r="WP33" s="301"/>
      <c r="WQ33" s="301"/>
      <c r="WR33" s="301"/>
      <c r="WS33" s="301"/>
      <c r="WT33" s="301"/>
      <c r="WU33" s="301"/>
      <c r="WV33" s="301"/>
      <c r="WW33" s="301"/>
      <c r="WX33" s="301"/>
      <c r="WY33" s="301"/>
      <c r="WZ33" s="301"/>
      <c r="XA33" s="301"/>
      <c r="XB33" s="301"/>
      <c r="XC33" s="301"/>
      <c r="XD33" s="301"/>
      <c r="XE33" s="301"/>
      <c r="XF33" s="301"/>
      <c r="XG33" s="301"/>
      <c r="XH33" s="301"/>
      <c r="XI33" s="301"/>
      <c r="XJ33" s="301"/>
      <c r="XK33" s="301"/>
      <c r="XL33" s="301"/>
      <c r="XM33" s="301"/>
      <c r="XN33" s="301"/>
      <c r="XO33" s="301"/>
      <c r="XP33" s="301"/>
      <c r="XQ33" s="301"/>
      <c r="XR33" s="301"/>
      <c r="XS33" s="301"/>
      <c r="XT33" s="301"/>
      <c r="XU33" s="301"/>
      <c r="XV33" s="301"/>
      <c r="XW33" s="301"/>
      <c r="XX33" s="301"/>
      <c r="XY33" s="301"/>
      <c r="XZ33" s="301"/>
      <c r="YA33" s="301"/>
      <c r="YB33" s="301"/>
      <c r="YC33" s="301"/>
      <c r="YD33" s="301"/>
      <c r="YE33" s="301"/>
      <c r="YF33" s="301"/>
      <c r="YG33" s="301"/>
      <c r="YH33" s="301"/>
      <c r="YI33" s="301"/>
      <c r="YJ33" s="301"/>
      <c r="YK33" s="301"/>
      <c r="YL33" s="301"/>
      <c r="YM33" s="301"/>
      <c r="YN33" s="301"/>
      <c r="YO33" s="301"/>
      <c r="YP33" s="301"/>
      <c r="YQ33" s="301"/>
      <c r="YR33" s="301"/>
      <c r="YS33" s="301"/>
      <c r="YT33" s="301"/>
      <c r="YU33" s="301"/>
      <c r="YV33" s="301"/>
      <c r="YW33" s="301"/>
      <c r="YX33" s="301"/>
      <c r="YY33" s="301"/>
      <c r="YZ33" s="301"/>
      <c r="ZA33" s="301"/>
      <c r="ZB33" s="301"/>
      <c r="ZC33" s="301"/>
      <c r="ZD33" s="301"/>
      <c r="ZE33" s="301"/>
      <c r="ZF33" s="301"/>
      <c r="ZG33" s="301"/>
      <c r="ZH33" s="301"/>
      <c r="ZI33" s="301"/>
      <c r="ZJ33" s="301"/>
      <c r="ZK33" s="301"/>
      <c r="ZL33" s="301"/>
      <c r="ZM33" s="301"/>
      <c r="ZN33" s="301"/>
      <c r="ZO33" s="301"/>
      <c r="ZP33" s="301"/>
      <c r="ZQ33" s="301"/>
      <c r="ZR33" s="301"/>
      <c r="ZS33" s="301"/>
      <c r="ZT33" s="301"/>
      <c r="ZU33" s="301"/>
      <c r="ZV33" s="301"/>
      <c r="ZW33" s="301"/>
      <c r="ZX33" s="301"/>
      <c r="ZY33" s="301"/>
      <c r="ZZ33" s="301"/>
      <c r="AAA33" s="301"/>
      <c r="AAB33" s="301"/>
      <c r="AAC33" s="301"/>
      <c r="AAD33" s="301"/>
      <c r="AAE33" s="301"/>
      <c r="AAF33" s="301"/>
      <c r="AAG33" s="301"/>
      <c r="AAH33" s="301"/>
      <c r="AAI33" s="301"/>
      <c r="AAJ33" s="301"/>
      <c r="AAK33" s="301"/>
      <c r="AAL33" s="301"/>
      <c r="AAM33" s="301"/>
      <c r="AAN33" s="301"/>
      <c r="AAO33" s="301"/>
      <c r="AAP33" s="301"/>
      <c r="AAQ33" s="301"/>
      <c r="AAR33" s="301"/>
      <c r="AAS33" s="301"/>
      <c r="AAT33" s="301"/>
      <c r="AAU33" s="301"/>
      <c r="AAV33" s="301"/>
      <c r="AAW33" s="301"/>
      <c r="AAX33" s="301"/>
      <c r="AAY33" s="301"/>
      <c r="AAZ33" s="301"/>
      <c r="ABA33" s="301"/>
      <c r="ABB33" s="301"/>
      <c r="ABC33" s="301"/>
      <c r="ABD33" s="301"/>
      <c r="ABE33" s="301"/>
      <c r="ABF33" s="301"/>
      <c r="ABG33" s="301"/>
      <c r="ABH33" s="301"/>
      <c r="ABI33" s="301"/>
      <c r="ABJ33" s="301"/>
      <c r="ABK33" s="301"/>
      <c r="ABL33" s="301"/>
      <c r="ABM33" s="301"/>
      <c r="ABN33" s="301"/>
      <c r="ABO33" s="301"/>
      <c r="ABP33" s="301"/>
      <c r="ABQ33" s="301"/>
      <c r="ABR33" s="301"/>
      <c r="ABS33" s="301"/>
      <c r="ABT33" s="301"/>
      <c r="ABU33" s="301"/>
      <c r="ABV33" s="301"/>
      <c r="ABW33" s="301"/>
      <c r="ABX33" s="301"/>
      <c r="ABY33" s="301"/>
      <c r="ABZ33" s="301"/>
      <c r="ACA33" s="301"/>
      <c r="ACB33" s="301"/>
      <c r="ACC33" s="301"/>
      <c r="ACD33" s="301"/>
      <c r="ACE33" s="301"/>
      <c r="ACF33" s="301"/>
      <c r="ACG33" s="301"/>
      <c r="ACH33" s="301"/>
      <c r="ACI33" s="301"/>
      <c r="ACJ33" s="301"/>
      <c r="ACK33" s="301"/>
      <c r="ACL33" s="301"/>
      <c r="ACM33" s="301"/>
      <c r="ACN33" s="301"/>
      <c r="ACO33" s="301"/>
      <c r="ACP33" s="301"/>
      <c r="ACQ33" s="301"/>
      <c r="ACR33" s="301"/>
      <c r="ACS33" s="301"/>
      <c r="ACT33" s="301"/>
      <c r="ACU33" s="301"/>
      <c r="ACV33" s="301"/>
      <c r="ACW33" s="301"/>
      <c r="ACX33" s="301"/>
      <c r="ACY33" s="301"/>
      <c r="ACZ33" s="301"/>
      <c r="ADA33" s="301"/>
      <c r="ADB33" s="301"/>
      <c r="ADC33" s="301"/>
      <c r="ADD33" s="301"/>
      <c r="ADE33" s="301"/>
      <c r="ADF33" s="301"/>
      <c r="ADG33" s="301"/>
      <c r="ADH33" s="301"/>
      <c r="ADI33" s="301"/>
      <c r="ADJ33" s="301"/>
      <c r="ADK33" s="301"/>
      <c r="ADL33" s="301"/>
      <c r="ADM33" s="301"/>
      <c r="ADN33" s="301"/>
      <c r="ADO33" s="301"/>
      <c r="ADP33" s="301"/>
      <c r="ADQ33" s="301"/>
      <c r="ADR33" s="301"/>
      <c r="ADS33" s="301"/>
      <c r="ADT33" s="301"/>
      <c r="ADU33" s="301"/>
      <c r="ADV33" s="301"/>
      <c r="ADW33" s="301"/>
      <c r="ADX33" s="301"/>
      <c r="ADY33" s="301"/>
      <c r="ADZ33" s="301"/>
      <c r="AEA33" s="301"/>
      <c r="AEB33" s="301"/>
      <c r="AEC33" s="301"/>
      <c r="AED33" s="301"/>
      <c r="AEE33" s="301"/>
      <c r="AEF33" s="301"/>
      <c r="AEG33" s="301"/>
      <c r="AEH33" s="301"/>
      <c r="AEI33" s="301"/>
      <c r="AEJ33" s="301"/>
      <c r="AEK33" s="301"/>
      <c r="AEL33" s="301"/>
      <c r="AEM33" s="301"/>
      <c r="AEN33" s="301"/>
      <c r="AEO33" s="301"/>
      <c r="AEP33" s="301"/>
      <c r="AEQ33" s="301"/>
      <c r="AER33" s="301"/>
      <c r="AES33" s="301"/>
      <c r="AET33" s="301"/>
      <c r="AEU33" s="301"/>
      <c r="AEV33" s="301"/>
      <c r="AEW33" s="301"/>
      <c r="AEX33" s="301"/>
      <c r="AEY33" s="301"/>
      <c r="AEZ33" s="301"/>
      <c r="AFA33" s="301"/>
      <c r="AFB33" s="301"/>
      <c r="AFC33" s="301"/>
      <c r="AFD33" s="301"/>
      <c r="AFE33" s="301"/>
      <c r="AFF33" s="301"/>
      <c r="AFG33" s="301"/>
      <c r="AFH33" s="301"/>
      <c r="AFI33" s="301"/>
      <c r="AFJ33" s="301"/>
      <c r="AFK33" s="301"/>
      <c r="AFL33" s="301"/>
      <c r="AFM33" s="301"/>
      <c r="AFN33" s="301"/>
      <c r="AFO33" s="301"/>
      <c r="AFP33" s="301"/>
      <c r="AFQ33" s="301"/>
      <c r="AFR33" s="301"/>
      <c r="AFS33" s="301"/>
      <c r="AFT33" s="301"/>
      <c r="AFU33" s="301"/>
      <c r="AFV33" s="301"/>
      <c r="AFW33" s="301"/>
      <c r="AFX33" s="301"/>
      <c r="AFY33" s="301"/>
      <c r="AFZ33" s="301"/>
      <c r="AGA33" s="301"/>
      <c r="AGB33" s="301"/>
      <c r="AGC33" s="301"/>
      <c r="AGD33" s="301"/>
      <c r="AGE33" s="301"/>
      <c r="AGF33" s="301"/>
      <c r="AGG33" s="301"/>
      <c r="AGH33" s="301"/>
      <c r="AGI33" s="301"/>
      <c r="AGJ33" s="301"/>
      <c r="AGK33" s="301"/>
      <c r="AGL33" s="301"/>
      <c r="AGM33" s="301"/>
      <c r="AGN33" s="301"/>
      <c r="AGO33" s="301"/>
      <c r="AGP33" s="301"/>
      <c r="AGQ33" s="301"/>
      <c r="AGR33" s="301"/>
      <c r="AGS33" s="301"/>
      <c r="AGT33" s="301"/>
      <c r="AGU33" s="301"/>
      <c r="AGV33" s="301"/>
      <c r="AGW33" s="301"/>
      <c r="AGX33" s="301"/>
      <c r="AGY33" s="301"/>
      <c r="AGZ33" s="301"/>
      <c r="AHA33" s="301"/>
      <c r="AHB33" s="301"/>
      <c r="AHC33" s="301"/>
      <c r="AHD33" s="301"/>
      <c r="AHE33" s="301"/>
      <c r="AHF33" s="301"/>
      <c r="AHG33" s="301"/>
      <c r="AHH33" s="301"/>
      <c r="AHI33" s="301"/>
      <c r="AHJ33" s="301"/>
      <c r="AHK33" s="301"/>
      <c r="AHL33" s="301"/>
      <c r="AHM33" s="301"/>
      <c r="AHN33" s="301"/>
      <c r="AHO33" s="301"/>
      <c r="AHP33" s="301"/>
      <c r="AHQ33" s="301"/>
      <c r="AHR33" s="301"/>
      <c r="AHS33" s="301"/>
      <c r="AHT33" s="301"/>
      <c r="AHU33" s="301"/>
      <c r="AHV33" s="301"/>
      <c r="AHW33" s="301"/>
      <c r="AHX33" s="301"/>
      <c r="AHY33" s="301"/>
      <c r="AHZ33" s="301"/>
      <c r="AIA33" s="301"/>
      <c r="AIB33" s="301"/>
      <c r="AIC33" s="301"/>
      <c r="AID33" s="301"/>
      <c r="AIE33" s="301"/>
      <c r="AIF33" s="301"/>
      <c r="AIG33" s="301"/>
      <c r="AIH33" s="301"/>
      <c r="AII33" s="301"/>
      <c r="AIJ33" s="301"/>
      <c r="AIK33" s="301"/>
      <c r="AIL33" s="301"/>
      <c r="AIM33" s="301"/>
      <c r="AIN33" s="301"/>
      <c r="AIO33" s="301"/>
      <c r="AIP33" s="301"/>
      <c r="AIQ33" s="301"/>
      <c r="AIR33" s="301"/>
      <c r="AIS33" s="301"/>
      <c r="AIT33" s="301"/>
      <c r="AIU33" s="301"/>
      <c r="AIV33" s="301"/>
      <c r="AIW33" s="301"/>
      <c r="AIX33" s="301"/>
      <c r="AIY33" s="301"/>
      <c r="AIZ33" s="301"/>
      <c r="AJA33" s="301"/>
      <c r="AJB33" s="301"/>
      <c r="AJC33" s="301"/>
      <c r="AJD33" s="301"/>
      <c r="AJE33" s="301"/>
      <c r="AJF33" s="301"/>
      <c r="AJG33" s="301"/>
      <c r="AJH33" s="301"/>
      <c r="AJI33" s="301"/>
      <c r="AJJ33" s="301"/>
      <c r="AJK33" s="301"/>
      <c r="AJL33" s="301"/>
      <c r="AJM33" s="301"/>
      <c r="AJN33" s="301"/>
      <c r="AJO33" s="301"/>
      <c r="AJP33" s="301"/>
      <c r="AJQ33" s="301"/>
      <c r="AJR33" s="301"/>
      <c r="AJS33" s="301"/>
      <c r="AJT33" s="301"/>
      <c r="AJU33" s="301"/>
      <c r="AJV33" s="301"/>
      <c r="AJW33" s="301"/>
      <c r="AJX33" s="301"/>
      <c r="AJY33" s="301"/>
      <c r="AJZ33" s="301"/>
      <c r="AKA33" s="301"/>
      <c r="AKB33" s="301"/>
      <c r="AKC33" s="301"/>
      <c r="AKD33" s="301"/>
      <c r="AKE33" s="301"/>
      <c r="AKF33" s="301"/>
      <c r="AKG33" s="301"/>
      <c r="AKH33" s="301"/>
      <c r="AKI33" s="301"/>
      <c r="AKJ33" s="301"/>
      <c r="AKK33" s="301"/>
      <c r="AKL33" s="301"/>
      <c r="AKM33" s="301"/>
      <c r="AKN33" s="301"/>
      <c r="AKO33" s="301"/>
      <c r="AKP33" s="301"/>
      <c r="AKQ33" s="301"/>
      <c r="AKR33" s="301"/>
      <c r="AKS33" s="301"/>
      <c r="AKT33" s="301"/>
      <c r="AKU33" s="301"/>
      <c r="AKV33" s="301"/>
      <c r="AKW33" s="301"/>
      <c r="AKX33" s="301"/>
      <c r="AKY33" s="301"/>
      <c r="AKZ33" s="301"/>
      <c r="ALA33" s="301"/>
      <c r="ALB33" s="301"/>
      <c r="ALC33" s="301"/>
      <c r="ALD33" s="301"/>
      <c r="ALE33" s="301"/>
      <c r="ALF33" s="301"/>
      <c r="ALG33" s="301"/>
      <c r="ALH33" s="301"/>
      <c r="ALI33" s="301"/>
      <c r="ALJ33" s="301"/>
      <c r="ALK33" s="301"/>
      <c r="ALL33" s="301"/>
      <c r="ALM33" s="301"/>
      <c r="ALN33" s="301"/>
      <c r="ALO33" s="301"/>
      <c r="ALP33" s="301"/>
      <c r="ALQ33" s="301"/>
      <c r="ALR33" s="301"/>
      <c r="ALS33" s="301"/>
      <c r="ALT33" s="301"/>
      <c r="ALU33" s="301"/>
      <c r="ALV33" s="301"/>
      <c r="ALW33" s="301"/>
      <c r="ALX33" s="301"/>
      <c r="ALY33" s="301"/>
      <c r="ALZ33" s="301"/>
      <c r="AMA33" s="301"/>
      <c r="AMB33" s="301"/>
      <c r="AMC33" s="301"/>
      <c r="AMD33" s="301"/>
      <c r="AME33" s="301"/>
      <c r="AMF33" s="301"/>
      <c r="AMG33" s="301"/>
      <c r="AMH33" s="301"/>
      <c r="AMI33" s="301"/>
      <c r="AMJ33" s="301"/>
    </row>
    <row r="34" customFormat="false" ht="12.8" hidden="false" customHeight="false" outlineLevel="0" collapsed="false">
      <c r="A34" s="299" t="s">
        <v>213</v>
      </c>
      <c r="B34" s="310"/>
      <c r="C34" s="311" t="str">
        <f aca="false">IF(B34&gt;0,1,"")</f>
        <v/>
      </c>
      <c r="D34" s="310"/>
      <c r="E34" s="311" t="str">
        <f aca="false">IF(D34&gt;0,1,"")</f>
        <v/>
      </c>
      <c r="F34" s="310"/>
      <c r="G34" s="311" t="str">
        <f aca="false">IF(F34&gt;0,1,"")</f>
        <v/>
      </c>
      <c r="H34" s="310" t="n">
        <v>150</v>
      </c>
      <c r="I34" s="311" t="n">
        <f aca="false">IF(H34&gt;0,1,"")</f>
        <v>1</v>
      </c>
      <c r="J34" s="326" t="n">
        <f aca="false">IF(SUM(C34,E34,G34,I34)&gt;1,"ERROR",IF(B34&gt;=1,B34*52,IF(D34&gt;=1,D34*26,IF(F34&gt;=1,F34*12,IF(H34&gt;=1,H34*4,"")))))</f>
        <v>600</v>
      </c>
      <c r="K34" s="301"/>
      <c r="L34" s="301"/>
      <c r="M34" s="301"/>
      <c r="N34" s="301"/>
      <c r="O34" s="301"/>
      <c r="P34" s="301"/>
      <c r="Q34" s="301"/>
      <c r="R34" s="301"/>
      <c r="S34" s="301"/>
      <c r="T34" s="301"/>
      <c r="U34" s="301"/>
      <c r="V34" s="301"/>
      <c r="W34" s="301"/>
      <c r="X34" s="301"/>
      <c r="Y34" s="301"/>
      <c r="Z34" s="301"/>
      <c r="AA34" s="301"/>
      <c r="AB34" s="301"/>
      <c r="AC34" s="301"/>
      <c r="AD34" s="301"/>
      <c r="AE34" s="301"/>
      <c r="AF34" s="301"/>
      <c r="AG34" s="301"/>
      <c r="AH34" s="301"/>
      <c r="AI34" s="301"/>
      <c r="AJ34" s="301"/>
      <c r="AK34" s="301"/>
      <c r="AL34" s="301"/>
      <c r="AM34" s="301"/>
      <c r="AN34" s="301"/>
      <c r="AO34" s="301"/>
      <c r="AP34" s="301"/>
      <c r="AQ34" s="301"/>
      <c r="AR34" s="301"/>
      <c r="AS34" s="301"/>
      <c r="AT34" s="301"/>
      <c r="AU34" s="301"/>
      <c r="AV34" s="301"/>
      <c r="AW34" s="301"/>
      <c r="AX34" s="301"/>
      <c r="AY34" s="301"/>
      <c r="AZ34" s="301"/>
      <c r="BA34" s="301"/>
      <c r="BB34" s="301"/>
      <c r="BC34" s="301"/>
      <c r="BD34" s="301"/>
      <c r="BE34" s="301"/>
      <c r="BF34" s="301"/>
      <c r="BG34" s="301"/>
      <c r="BH34" s="301"/>
      <c r="BI34" s="301"/>
      <c r="BJ34" s="301"/>
      <c r="BK34" s="301"/>
      <c r="BL34" s="301"/>
      <c r="BM34" s="301"/>
      <c r="BN34" s="301"/>
      <c r="BO34" s="301"/>
      <c r="BP34" s="301"/>
      <c r="BQ34" s="301"/>
      <c r="BR34" s="301"/>
      <c r="BS34" s="301"/>
      <c r="BT34" s="301"/>
      <c r="BU34" s="301"/>
      <c r="BV34" s="301"/>
      <c r="BW34" s="301"/>
      <c r="BX34" s="301"/>
      <c r="BY34" s="301"/>
      <c r="BZ34" s="301"/>
      <c r="CA34" s="301"/>
      <c r="CB34" s="301"/>
      <c r="CC34" s="301"/>
      <c r="CD34" s="301"/>
      <c r="CE34" s="301"/>
      <c r="CF34" s="301"/>
      <c r="CG34" s="301"/>
      <c r="CH34" s="301"/>
      <c r="CI34" s="301"/>
      <c r="CJ34" s="301"/>
      <c r="CK34" s="301"/>
      <c r="CL34" s="301"/>
      <c r="CM34" s="301"/>
      <c r="CN34" s="301"/>
      <c r="CO34" s="301"/>
      <c r="CP34" s="301"/>
      <c r="CQ34" s="301"/>
      <c r="CR34" s="301"/>
      <c r="CS34" s="301"/>
      <c r="CT34" s="301"/>
      <c r="CU34" s="301"/>
      <c r="CV34" s="301"/>
      <c r="CW34" s="301"/>
      <c r="CX34" s="301"/>
      <c r="CY34" s="301"/>
      <c r="CZ34" s="301"/>
      <c r="DA34" s="301"/>
      <c r="DB34" s="301"/>
      <c r="DC34" s="301"/>
      <c r="DD34" s="301"/>
      <c r="DE34" s="301"/>
      <c r="DF34" s="301"/>
      <c r="DG34" s="301"/>
      <c r="DH34" s="301"/>
      <c r="DI34" s="301"/>
      <c r="DJ34" s="301"/>
      <c r="DK34" s="301"/>
      <c r="DL34" s="301"/>
      <c r="DM34" s="301"/>
      <c r="DN34" s="301"/>
      <c r="DO34" s="301"/>
      <c r="DP34" s="301"/>
      <c r="DQ34" s="301"/>
      <c r="DR34" s="301"/>
      <c r="DS34" s="301"/>
      <c r="DT34" s="301"/>
      <c r="DU34" s="301"/>
      <c r="DV34" s="301"/>
      <c r="DW34" s="301"/>
      <c r="DX34" s="301"/>
      <c r="DY34" s="301"/>
      <c r="DZ34" s="301"/>
      <c r="EA34" s="301"/>
      <c r="EB34" s="301"/>
      <c r="EC34" s="301"/>
      <c r="ED34" s="301"/>
      <c r="EE34" s="301"/>
      <c r="EF34" s="301"/>
      <c r="EG34" s="301"/>
      <c r="EH34" s="301"/>
      <c r="EI34" s="301"/>
      <c r="EJ34" s="301"/>
      <c r="EK34" s="301"/>
      <c r="EL34" s="301"/>
      <c r="EM34" s="301"/>
      <c r="EN34" s="301"/>
      <c r="EO34" s="301"/>
      <c r="EP34" s="301"/>
      <c r="EQ34" s="301"/>
      <c r="ER34" s="301"/>
      <c r="ES34" s="301"/>
      <c r="ET34" s="301"/>
      <c r="EU34" s="301"/>
      <c r="EV34" s="301"/>
      <c r="EW34" s="301"/>
      <c r="EX34" s="301"/>
      <c r="EY34" s="301"/>
      <c r="EZ34" s="301"/>
      <c r="FA34" s="301"/>
      <c r="FB34" s="301"/>
      <c r="FC34" s="301"/>
      <c r="FD34" s="301"/>
      <c r="FE34" s="301"/>
      <c r="FF34" s="301"/>
      <c r="FG34" s="301"/>
      <c r="FH34" s="301"/>
      <c r="FI34" s="301"/>
      <c r="FJ34" s="301"/>
      <c r="FK34" s="301"/>
      <c r="FL34" s="301"/>
      <c r="FM34" s="301"/>
      <c r="FN34" s="301"/>
      <c r="FO34" s="301"/>
      <c r="FP34" s="301"/>
      <c r="FQ34" s="301"/>
      <c r="FR34" s="301"/>
      <c r="FS34" s="301"/>
      <c r="FT34" s="301"/>
      <c r="FU34" s="301"/>
      <c r="FV34" s="301"/>
      <c r="FW34" s="301"/>
      <c r="FX34" s="301"/>
      <c r="FY34" s="301"/>
      <c r="FZ34" s="301"/>
      <c r="GA34" s="301"/>
      <c r="GB34" s="301"/>
      <c r="GC34" s="301"/>
      <c r="GD34" s="301"/>
      <c r="GE34" s="301"/>
      <c r="GF34" s="301"/>
      <c r="GG34" s="301"/>
      <c r="GH34" s="301"/>
      <c r="GI34" s="301"/>
      <c r="GJ34" s="301"/>
      <c r="GK34" s="301"/>
      <c r="GL34" s="301"/>
      <c r="GM34" s="301"/>
      <c r="GN34" s="301"/>
      <c r="GO34" s="301"/>
      <c r="GP34" s="301"/>
      <c r="GQ34" s="301"/>
      <c r="GR34" s="301"/>
      <c r="GS34" s="301"/>
      <c r="GT34" s="301"/>
      <c r="GU34" s="301"/>
      <c r="GV34" s="301"/>
      <c r="GW34" s="301"/>
      <c r="GX34" s="301"/>
      <c r="GY34" s="301"/>
      <c r="GZ34" s="301"/>
      <c r="HA34" s="301"/>
      <c r="HB34" s="301"/>
      <c r="HC34" s="301"/>
      <c r="HD34" s="301"/>
      <c r="HE34" s="301"/>
      <c r="HF34" s="301"/>
      <c r="HG34" s="301"/>
      <c r="HH34" s="301"/>
      <c r="HI34" s="301"/>
      <c r="HJ34" s="301"/>
      <c r="HK34" s="301"/>
      <c r="HL34" s="301"/>
      <c r="HM34" s="301"/>
      <c r="HN34" s="301"/>
      <c r="HO34" s="301"/>
      <c r="HP34" s="301"/>
      <c r="HQ34" s="301"/>
      <c r="HR34" s="301"/>
      <c r="HS34" s="301"/>
      <c r="HT34" s="301"/>
      <c r="HU34" s="301"/>
      <c r="HV34" s="301"/>
      <c r="HW34" s="301"/>
      <c r="HX34" s="301"/>
      <c r="HY34" s="301"/>
      <c r="HZ34" s="301"/>
      <c r="IA34" s="301"/>
      <c r="IB34" s="301"/>
      <c r="IC34" s="301"/>
      <c r="ID34" s="301"/>
      <c r="IE34" s="301"/>
      <c r="IF34" s="301"/>
      <c r="IG34" s="301"/>
      <c r="IH34" s="301"/>
      <c r="II34" s="301"/>
      <c r="IJ34" s="301"/>
      <c r="IK34" s="301"/>
      <c r="IL34" s="301"/>
      <c r="IM34" s="301"/>
      <c r="IN34" s="301"/>
      <c r="IO34" s="301"/>
      <c r="IP34" s="301"/>
      <c r="IQ34" s="301"/>
      <c r="IR34" s="301"/>
      <c r="IS34" s="301"/>
      <c r="IT34" s="301"/>
      <c r="IU34" s="301"/>
      <c r="IV34" s="301"/>
      <c r="IW34" s="301"/>
      <c r="IX34" s="301"/>
      <c r="IY34" s="301"/>
      <c r="IZ34" s="301"/>
      <c r="JA34" s="301"/>
      <c r="JB34" s="301"/>
      <c r="JC34" s="301"/>
      <c r="JD34" s="301"/>
      <c r="JE34" s="301"/>
      <c r="JF34" s="301"/>
      <c r="JG34" s="301"/>
      <c r="JH34" s="301"/>
      <c r="JI34" s="301"/>
      <c r="JJ34" s="301"/>
      <c r="JK34" s="301"/>
      <c r="JL34" s="301"/>
      <c r="JM34" s="301"/>
      <c r="JN34" s="301"/>
      <c r="JO34" s="301"/>
      <c r="JP34" s="301"/>
      <c r="JQ34" s="301"/>
      <c r="JR34" s="301"/>
      <c r="JS34" s="301"/>
      <c r="JT34" s="301"/>
      <c r="JU34" s="301"/>
      <c r="JV34" s="301"/>
      <c r="JW34" s="301"/>
      <c r="JX34" s="301"/>
      <c r="JY34" s="301"/>
      <c r="JZ34" s="301"/>
      <c r="KA34" s="301"/>
      <c r="KB34" s="301"/>
      <c r="KC34" s="301"/>
      <c r="KD34" s="301"/>
      <c r="KE34" s="301"/>
      <c r="KF34" s="301"/>
      <c r="KG34" s="301"/>
      <c r="KH34" s="301"/>
      <c r="KI34" s="301"/>
      <c r="KJ34" s="301"/>
      <c r="KK34" s="301"/>
      <c r="KL34" s="301"/>
      <c r="KM34" s="301"/>
      <c r="KN34" s="301"/>
      <c r="KO34" s="301"/>
      <c r="KP34" s="301"/>
      <c r="KQ34" s="301"/>
      <c r="KR34" s="301"/>
      <c r="KS34" s="301"/>
      <c r="KT34" s="301"/>
      <c r="KU34" s="301"/>
      <c r="KV34" s="301"/>
      <c r="KW34" s="301"/>
      <c r="KX34" s="301"/>
      <c r="KY34" s="301"/>
      <c r="KZ34" s="301"/>
      <c r="LA34" s="301"/>
      <c r="LB34" s="301"/>
      <c r="LC34" s="301"/>
      <c r="LD34" s="301"/>
      <c r="LE34" s="301"/>
      <c r="LF34" s="301"/>
      <c r="LG34" s="301"/>
      <c r="LH34" s="301"/>
      <c r="LI34" s="301"/>
      <c r="LJ34" s="301"/>
      <c r="LK34" s="301"/>
      <c r="LL34" s="301"/>
      <c r="LM34" s="301"/>
      <c r="LN34" s="301"/>
      <c r="LO34" s="301"/>
      <c r="LP34" s="301"/>
      <c r="LQ34" s="301"/>
      <c r="LR34" s="301"/>
      <c r="LS34" s="301"/>
      <c r="LT34" s="301"/>
      <c r="LU34" s="301"/>
      <c r="LV34" s="301"/>
      <c r="LW34" s="301"/>
      <c r="LX34" s="301"/>
      <c r="LY34" s="301"/>
      <c r="LZ34" s="301"/>
      <c r="MA34" s="301"/>
      <c r="MB34" s="301"/>
      <c r="MC34" s="301"/>
      <c r="MD34" s="301"/>
      <c r="ME34" s="301"/>
      <c r="MF34" s="301"/>
      <c r="MG34" s="301"/>
      <c r="MH34" s="301"/>
      <c r="MI34" s="301"/>
      <c r="MJ34" s="301"/>
      <c r="MK34" s="301"/>
      <c r="ML34" s="301"/>
      <c r="MM34" s="301"/>
      <c r="MN34" s="301"/>
      <c r="MO34" s="301"/>
      <c r="MP34" s="301"/>
      <c r="MQ34" s="301"/>
      <c r="MR34" s="301"/>
      <c r="MS34" s="301"/>
      <c r="MT34" s="301"/>
      <c r="MU34" s="301"/>
      <c r="MV34" s="301"/>
      <c r="MW34" s="301"/>
      <c r="MX34" s="301"/>
      <c r="MY34" s="301"/>
      <c r="MZ34" s="301"/>
      <c r="NA34" s="301"/>
      <c r="NB34" s="301"/>
      <c r="NC34" s="301"/>
      <c r="ND34" s="301"/>
      <c r="NE34" s="301"/>
      <c r="NF34" s="301"/>
      <c r="NG34" s="301"/>
      <c r="NH34" s="301"/>
      <c r="NI34" s="301"/>
      <c r="NJ34" s="301"/>
      <c r="NK34" s="301"/>
      <c r="NL34" s="301"/>
      <c r="NM34" s="301"/>
      <c r="NN34" s="301"/>
      <c r="NO34" s="301"/>
      <c r="NP34" s="301"/>
      <c r="NQ34" s="301"/>
      <c r="NR34" s="301"/>
      <c r="NS34" s="301"/>
      <c r="NT34" s="301"/>
      <c r="NU34" s="301"/>
      <c r="NV34" s="301"/>
      <c r="NW34" s="301"/>
      <c r="NX34" s="301"/>
      <c r="NY34" s="301"/>
      <c r="NZ34" s="301"/>
      <c r="OA34" s="301"/>
      <c r="OB34" s="301"/>
      <c r="OC34" s="301"/>
      <c r="OD34" s="301"/>
      <c r="OE34" s="301"/>
      <c r="OF34" s="301"/>
      <c r="OG34" s="301"/>
      <c r="OH34" s="301"/>
      <c r="OI34" s="301"/>
      <c r="OJ34" s="301"/>
      <c r="OK34" s="301"/>
      <c r="OL34" s="301"/>
      <c r="OM34" s="301"/>
      <c r="ON34" s="301"/>
      <c r="OO34" s="301"/>
      <c r="OP34" s="301"/>
      <c r="OQ34" s="301"/>
      <c r="OR34" s="301"/>
      <c r="OS34" s="301"/>
      <c r="OT34" s="301"/>
      <c r="OU34" s="301"/>
      <c r="OV34" s="301"/>
      <c r="OW34" s="301"/>
      <c r="OX34" s="301"/>
      <c r="OY34" s="301"/>
      <c r="OZ34" s="301"/>
      <c r="PA34" s="301"/>
      <c r="PB34" s="301"/>
      <c r="PC34" s="301"/>
      <c r="PD34" s="301"/>
      <c r="PE34" s="301"/>
      <c r="PF34" s="301"/>
      <c r="PG34" s="301"/>
      <c r="PH34" s="301"/>
      <c r="PI34" s="301"/>
      <c r="PJ34" s="301"/>
      <c r="PK34" s="301"/>
      <c r="PL34" s="301"/>
      <c r="PM34" s="301"/>
      <c r="PN34" s="301"/>
      <c r="PO34" s="301"/>
      <c r="PP34" s="301"/>
      <c r="PQ34" s="301"/>
      <c r="PR34" s="301"/>
      <c r="PS34" s="301"/>
      <c r="PT34" s="301"/>
      <c r="PU34" s="301"/>
      <c r="PV34" s="301"/>
      <c r="PW34" s="301"/>
      <c r="PX34" s="301"/>
      <c r="PY34" s="301"/>
      <c r="PZ34" s="301"/>
      <c r="QA34" s="301"/>
      <c r="QB34" s="301"/>
      <c r="QC34" s="301"/>
      <c r="QD34" s="301"/>
      <c r="QE34" s="301"/>
      <c r="QF34" s="301"/>
      <c r="QG34" s="301"/>
      <c r="QH34" s="301"/>
      <c r="QI34" s="301"/>
      <c r="QJ34" s="301"/>
      <c r="QK34" s="301"/>
      <c r="QL34" s="301"/>
      <c r="QM34" s="301"/>
      <c r="QN34" s="301"/>
      <c r="QO34" s="301"/>
      <c r="QP34" s="301"/>
      <c r="QQ34" s="301"/>
      <c r="QR34" s="301"/>
      <c r="QS34" s="301"/>
      <c r="QT34" s="301"/>
      <c r="QU34" s="301"/>
      <c r="QV34" s="301"/>
      <c r="QW34" s="301"/>
      <c r="QX34" s="301"/>
      <c r="QY34" s="301"/>
      <c r="QZ34" s="301"/>
      <c r="RA34" s="301"/>
      <c r="RB34" s="301"/>
      <c r="RC34" s="301"/>
      <c r="RD34" s="301"/>
      <c r="RE34" s="301"/>
      <c r="RF34" s="301"/>
      <c r="RG34" s="301"/>
      <c r="RH34" s="301"/>
      <c r="RI34" s="301"/>
      <c r="RJ34" s="301"/>
      <c r="RK34" s="301"/>
      <c r="RL34" s="301"/>
      <c r="RM34" s="301"/>
      <c r="RN34" s="301"/>
      <c r="RO34" s="301"/>
      <c r="RP34" s="301"/>
      <c r="RQ34" s="301"/>
      <c r="RR34" s="301"/>
      <c r="RS34" s="301"/>
      <c r="RT34" s="301"/>
      <c r="RU34" s="301"/>
      <c r="RV34" s="301"/>
      <c r="RW34" s="301"/>
      <c r="RX34" s="301"/>
      <c r="RY34" s="301"/>
      <c r="RZ34" s="301"/>
      <c r="SA34" s="301"/>
      <c r="SB34" s="301"/>
      <c r="SC34" s="301"/>
      <c r="SD34" s="301"/>
      <c r="SE34" s="301"/>
      <c r="SF34" s="301"/>
      <c r="SG34" s="301"/>
      <c r="SH34" s="301"/>
      <c r="SI34" s="301"/>
      <c r="SJ34" s="301"/>
      <c r="SK34" s="301"/>
      <c r="SL34" s="301"/>
      <c r="SM34" s="301"/>
      <c r="SN34" s="301"/>
      <c r="SO34" s="301"/>
      <c r="SP34" s="301"/>
      <c r="SQ34" s="301"/>
      <c r="SR34" s="301"/>
      <c r="SS34" s="301"/>
      <c r="ST34" s="301"/>
      <c r="SU34" s="301"/>
      <c r="SV34" s="301"/>
      <c r="SW34" s="301"/>
      <c r="SX34" s="301"/>
      <c r="SY34" s="301"/>
      <c r="SZ34" s="301"/>
      <c r="TA34" s="301"/>
      <c r="TB34" s="301"/>
      <c r="TC34" s="301"/>
      <c r="TD34" s="301"/>
      <c r="TE34" s="301"/>
      <c r="TF34" s="301"/>
      <c r="TG34" s="301"/>
      <c r="TH34" s="301"/>
      <c r="TI34" s="301"/>
      <c r="TJ34" s="301"/>
      <c r="TK34" s="301"/>
      <c r="TL34" s="301"/>
      <c r="TM34" s="301"/>
      <c r="TN34" s="301"/>
      <c r="TO34" s="301"/>
      <c r="TP34" s="301"/>
      <c r="TQ34" s="301"/>
      <c r="TR34" s="301"/>
      <c r="TS34" s="301"/>
      <c r="TT34" s="301"/>
      <c r="TU34" s="301"/>
      <c r="TV34" s="301"/>
      <c r="TW34" s="301"/>
      <c r="TX34" s="301"/>
      <c r="TY34" s="301"/>
      <c r="TZ34" s="301"/>
      <c r="UA34" s="301"/>
      <c r="UB34" s="301"/>
      <c r="UC34" s="301"/>
      <c r="UD34" s="301"/>
      <c r="UE34" s="301"/>
      <c r="UF34" s="301"/>
      <c r="UG34" s="301"/>
      <c r="UH34" s="301"/>
      <c r="UI34" s="301"/>
      <c r="UJ34" s="301"/>
      <c r="UK34" s="301"/>
      <c r="UL34" s="301"/>
      <c r="UM34" s="301"/>
      <c r="UN34" s="301"/>
      <c r="UO34" s="301"/>
      <c r="UP34" s="301"/>
      <c r="UQ34" s="301"/>
      <c r="UR34" s="301"/>
      <c r="US34" s="301"/>
      <c r="UT34" s="301"/>
      <c r="UU34" s="301"/>
      <c r="UV34" s="301"/>
      <c r="UW34" s="301"/>
      <c r="UX34" s="301"/>
      <c r="UY34" s="301"/>
      <c r="UZ34" s="301"/>
      <c r="VA34" s="301"/>
      <c r="VB34" s="301"/>
      <c r="VC34" s="301"/>
      <c r="VD34" s="301"/>
      <c r="VE34" s="301"/>
      <c r="VF34" s="301"/>
      <c r="VG34" s="301"/>
      <c r="VH34" s="301"/>
      <c r="VI34" s="301"/>
      <c r="VJ34" s="301"/>
      <c r="VK34" s="301"/>
      <c r="VL34" s="301"/>
      <c r="VM34" s="301"/>
      <c r="VN34" s="301"/>
      <c r="VO34" s="301"/>
      <c r="VP34" s="301"/>
      <c r="VQ34" s="301"/>
      <c r="VR34" s="301"/>
      <c r="VS34" s="301"/>
      <c r="VT34" s="301"/>
      <c r="VU34" s="301"/>
      <c r="VV34" s="301"/>
      <c r="VW34" s="301"/>
      <c r="VX34" s="301"/>
      <c r="VY34" s="301"/>
      <c r="VZ34" s="301"/>
      <c r="WA34" s="301"/>
      <c r="WB34" s="301"/>
      <c r="WC34" s="301"/>
      <c r="WD34" s="301"/>
      <c r="WE34" s="301"/>
      <c r="WF34" s="301"/>
      <c r="WG34" s="301"/>
      <c r="WH34" s="301"/>
      <c r="WI34" s="301"/>
      <c r="WJ34" s="301"/>
      <c r="WK34" s="301"/>
      <c r="WL34" s="301"/>
      <c r="WM34" s="301"/>
      <c r="WN34" s="301"/>
      <c r="WO34" s="301"/>
      <c r="WP34" s="301"/>
      <c r="WQ34" s="301"/>
      <c r="WR34" s="301"/>
      <c r="WS34" s="301"/>
      <c r="WT34" s="301"/>
      <c r="WU34" s="301"/>
      <c r="WV34" s="301"/>
      <c r="WW34" s="301"/>
      <c r="WX34" s="301"/>
      <c r="WY34" s="301"/>
      <c r="WZ34" s="301"/>
      <c r="XA34" s="301"/>
      <c r="XB34" s="301"/>
      <c r="XC34" s="301"/>
      <c r="XD34" s="301"/>
      <c r="XE34" s="301"/>
      <c r="XF34" s="301"/>
      <c r="XG34" s="301"/>
      <c r="XH34" s="301"/>
      <c r="XI34" s="301"/>
      <c r="XJ34" s="301"/>
      <c r="XK34" s="301"/>
      <c r="XL34" s="301"/>
      <c r="XM34" s="301"/>
      <c r="XN34" s="301"/>
      <c r="XO34" s="301"/>
      <c r="XP34" s="301"/>
      <c r="XQ34" s="301"/>
      <c r="XR34" s="301"/>
      <c r="XS34" s="301"/>
      <c r="XT34" s="301"/>
      <c r="XU34" s="301"/>
      <c r="XV34" s="301"/>
      <c r="XW34" s="301"/>
      <c r="XX34" s="301"/>
      <c r="XY34" s="301"/>
      <c r="XZ34" s="301"/>
      <c r="YA34" s="301"/>
      <c r="YB34" s="301"/>
      <c r="YC34" s="301"/>
      <c r="YD34" s="301"/>
      <c r="YE34" s="301"/>
      <c r="YF34" s="301"/>
      <c r="YG34" s="301"/>
      <c r="YH34" s="301"/>
      <c r="YI34" s="301"/>
      <c r="YJ34" s="301"/>
      <c r="YK34" s="301"/>
      <c r="YL34" s="301"/>
      <c r="YM34" s="301"/>
      <c r="YN34" s="301"/>
      <c r="YO34" s="301"/>
      <c r="YP34" s="301"/>
      <c r="YQ34" s="301"/>
      <c r="YR34" s="301"/>
      <c r="YS34" s="301"/>
      <c r="YT34" s="301"/>
      <c r="YU34" s="301"/>
      <c r="YV34" s="301"/>
      <c r="YW34" s="301"/>
      <c r="YX34" s="301"/>
      <c r="YY34" s="301"/>
      <c r="YZ34" s="301"/>
      <c r="ZA34" s="301"/>
      <c r="ZB34" s="301"/>
      <c r="ZC34" s="301"/>
      <c r="ZD34" s="301"/>
      <c r="ZE34" s="301"/>
      <c r="ZF34" s="301"/>
      <c r="ZG34" s="301"/>
      <c r="ZH34" s="301"/>
      <c r="ZI34" s="301"/>
      <c r="ZJ34" s="301"/>
      <c r="ZK34" s="301"/>
      <c r="ZL34" s="301"/>
      <c r="ZM34" s="301"/>
      <c r="ZN34" s="301"/>
      <c r="ZO34" s="301"/>
      <c r="ZP34" s="301"/>
      <c r="ZQ34" s="301"/>
      <c r="ZR34" s="301"/>
      <c r="ZS34" s="301"/>
      <c r="ZT34" s="301"/>
      <c r="ZU34" s="301"/>
      <c r="ZV34" s="301"/>
      <c r="ZW34" s="301"/>
      <c r="ZX34" s="301"/>
      <c r="ZY34" s="301"/>
      <c r="ZZ34" s="301"/>
      <c r="AAA34" s="301"/>
      <c r="AAB34" s="301"/>
      <c r="AAC34" s="301"/>
      <c r="AAD34" s="301"/>
      <c r="AAE34" s="301"/>
      <c r="AAF34" s="301"/>
      <c r="AAG34" s="301"/>
      <c r="AAH34" s="301"/>
      <c r="AAI34" s="301"/>
      <c r="AAJ34" s="301"/>
      <c r="AAK34" s="301"/>
      <c r="AAL34" s="301"/>
      <c r="AAM34" s="301"/>
      <c r="AAN34" s="301"/>
      <c r="AAO34" s="301"/>
      <c r="AAP34" s="301"/>
      <c r="AAQ34" s="301"/>
      <c r="AAR34" s="301"/>
      <c r="AAS34" s="301"/>
      <c r="AAT34" s="301"/>
      <c r="AAU34" s="301"/>
      <c r="AAV34" s="301"/>
      <c r="AAW34" s="301"/>
      <c r="AAX34" s="301"/>
      <c r="AAY34" s="301"/>
      <c r="AAZ34" s="301"/>
      <c r="ABA34" s="301"/>
      <c r="ABB34" s="301"/>
      <c r="ABC34" s="301"/>
      <c r="ABD34" s="301"/>
      <c r="ABE34" s="301"/>
      <c r="ABF34" s="301"/>
      <c r="ABG34" s="301"/>
      <c r="ABH34" s="301"/>
      <c r="ABI34" s="301"/>
      <c r="ABJ34" s="301"/>
      <c r="ABK34" s="301"/>
      <c r="ABL34" s="301"/>
      <c r="ABM34" s="301"/>
      <c r="ABN34" s="301"/>
      <c r="ABO34" s="301"/>
      <c r="ABP34" s="301"/>
      <c r="ABQ34" s="301"/>
      <c r="ABR34" s="301"/>
      <c r="ABS34" s="301"/>
      <c r="ABT34" s="301"/>
      <c r="ABU34" s="301"/>
      <c r="ABV34" s="301"/>
      <c r="ABW34" s="301"/>
      <c r="ABX34" s="301"/>
      <c r="ABY34" s="301"/>
      <c r="ABZ34" s="301"/>
      <c r="ACA34" s="301"/>
      <c r="ACB34" s="301"/>
      <c r="ACC34" s="301"/>
      <c r="ACD34" s="301"/>
      <c r="ACE34" s="301"/>
      <c r="ACF34" s="301"/>
      <c r="ACG34" s="301"/>
      <c r="ACH34" s="301"/>
      <c r="ACI34" s="301"/>
      <c r="ACJ34" s="301"/>
      <c r="ACK34" s="301"/>
      <c r="ACL34" s="301"/>
      <c r="ACM34" s="301"/>
      <c r="ACN34" s="301"/>
      <c r="ACO34" s="301"/>
      <c r="ACP34" s="301"/>
      <c r="ACQ34" s="301"/>
      <c r="ACR34" s="301"/>
      <c r="ACS34" s="301"/>
      <c r="ACT34" s="301"/>
      <c r="ACU34" s="301"/>
      <c r="ACV34" s="301"/>
      <c r="ACW34" s="301"/>
      <c r="ACX34" s="301"/>
      <c r="ACY34" s="301"/>
      <c r="ACZ34" s="301"/>
      <c r="ADA34" s="301"/>
      <c r="ADB34" s="301"/>
      <c r="ADC34" s="301"/>
      <c r="ADD34" s="301"/>
      <c r="ADE34" s="301"/>
      <c r="ADF34" s="301"/>
      <c r="ADG34" s="301"/>
      <c r="ADH34" s="301"/>
      <c r="ADI34" s="301"/>
      <c r="ADJ34" s="301"/>
      <c r="ADK34" s="301"/>
      <c r="ADL34" s="301"/>
      <c r="ADM34" s="301"/>
      <c r="ADN34" s="301"/>
      <c r="ADO34" s="301"/>
      <c r="ADP34" s="301"/>
      <c r="ADQ34" s="301"/>
      <c r="ADR34" s="301"/>
      <c r="ADS34" s="301"/>
      <c r="ADT34" s="301"/>
      <c r="ADU34" s="301"/>
      <c r="ADV34" s="301"/>
      <c r="ADW34" s="301"/>
      <c r="ADX34" s="301"/>
      <c r="ADY34" s="301"/>
      <c r="ADZ34" s="301"/>
      <c r="AEA34" s="301"/>
      <c r="AEB34" s="301"/>
      <c r="AEC34" s="301"/>
      <c r="AED34" s="301"/>
      <c r="AEE34" s="301"/>
      <c r="AEF34" s="301"/>
      <c r="AEG34" s="301"/>
      <c r="AEH34" s="301"/>
      <c r="AEI34" s="301"/>
      <c r="AEJ34" s="301"/>
      <c r="AEK34" s="301"/>
      <c r="AEL34" s="301"/>
      <c r="AEM34" s="301"/>
      <c r="AEN34" s="301"/>
      <c r="AEO34" s="301"/>
      <c r="AEP34" s="301"/>
      <c r="AEQ34" s="301"/>
      <c r="AER34" s="301"/>
      <c r="AES34" s="301"/>
      <c r="AET34" s="301"/>
      <c r="AEU34" s="301"/>
      <c r="AEV34" s="301"/>
      <c r="AEW34" s="301"/>
      <c r="AEX34" s="301"/>
      <c r="AEY34" s="301"/>
      <c r="AEZ34" s="301"/>
      <c r="AFA34" s="301"/>
      <c r="AFB34" s="301"/>
      <c r="AFC34" s="301"/>
      <c r="AFD34" s="301"/>
      <c r="AFE34" s="301"/>
      <c r="AFF34" s="301"/>
      <c r="AFG34" s="301"/>
      <c r="AFH34" s="301"/>
      <c r="AFI34" s="301"/>
      <c r="AFJ34" s="301"/>
      <c r="AFK34" s="301"/>
      <c r="AFL34" s="301"/>
      <c r="AFM34" s="301"/>
      <c r="AFN34" s="301"/>
      <c r="AFO34" s="301"/>
      <c r="AFP34" s="301"/>
      <c r="AFQ34" s="301"/>
      <c r="AFR34" s="301"/>
      <c r="AFS34" s="301"/>
      <c r="AFT34" s="301"/>
      <c r="AFU34" s="301"/>
      <c r="AFV34" s="301"/>
      <c r="AFW34" s="301"/>
      <c r="AFX34" s="301"/>
      <c r="AFY34" s="301"/>
      <c r="AFZ34" s="301"/>
      <c r="AGA34" s="301"/>
      <c r="AGB34" s="301"/>
      <c r="AGC34" s="301"/>
      <c r="AGD34" s="301"/>
      <c r="AGE34" s="301"/>
      <c r="AGF34" s="301"/>
      <c r="AGG34" s="301"/>
      <c r="AGH34" s="301"/>
      <c r="AGI34" s="301"/>
      <c r="AGJ34" s="301"/>
      <c r="AGK34" s="301"/>
      <c r="AGL34" s="301"/>
      <c r="AGM34" s="301"/>
      <c r="AGN34" s="301"/>
      <c r="AGO34" s="301"/>
      <c r="AGP34" s="301"/>
      <c r="AGQ34" s="301"/>
      <c r="AGR34" s="301"/>
      <c r="AGS34" s="301"/>
      <c r="AGT34" s="301"/>
      <c r="AGU34" s="301"/>
      <c r="AGV34" s="301"/>
      <c r="AGW34" s="301"/>
      <c r="AGX34" s="301"/>
      <c r="AGY34" s="301"/>
      <c r="AGZ34" s="301"/>
      <c r="AHA34" s="301"/>
      <c r="AHB34" s="301"/>
      <c r="AHC34" s="301"/>
      <c r="AHD34" s="301"/>
      <c r="AHE34" s="301"/>
      <c r="AHF34" s="301"/>
      <c r="AHG34" s="301"/>
      <c r="AHH34" s="301"/>
      <c r="AHI34" s="301"/>
      <c r="AHJ34" s="301"/>
      <c r="AHK34" s="301"/>
      <c r="AHL34" s="301"/>
      <c r="AHM34" s="301"/>
      <c r="AHN34" s="301"/>
      <c r="AHO34" s="301"/>
      <c r="AHP34" s="301"/>
      <c r="AHQ34" s="301"/>
      <c r="AHR34" s="301"/>
      <c r="AHS34" s="301"/>
      <c r="AHT34" s="301"/>
      <c r="AHU34" s="301"/>
      <c r="AHV34" s="301"/>
      <c r="AHW34" s="301"/>
      <c r="AHX34" s="301"/>
      <c r="AHY34" s="301"/>
      <c r="AHZ34" s="301"/>
      <c r="AIA34" s="301"/>
      <c r="AIB34" s="301"/>
      <c r="AIC34" s="301"/>
      <c r="AID34" s="301"/>
      <c r="AIE34" s="301"/>
      <c r="AIF34" s="301"/>
      <c r="AIG34" s="301"/>
      <c r="AIH34" s="301"/>
      <c r="AII34" s="301"/>
      <c r="AIJ34" s="301"/>
      <c r="AIK34" s="301"/>
      <c r="AIL34" s="301"/>
      <c r="AIM34" s="301"/>
      <c r="AIN34" s="301"/>
      <c r="AIO34" s="301"/>
      <c r="AIP34" s="301"/>
      <c r="AIQ34" s="301"/>
      <c r="AIR34" s="301"/>
      <c r="AIS34" s="301"/>
      <c r="AIT34" s="301"/>
      <c r="AIU34" s="301"/>
      <c r="AIV34" s="301"/>
      <c r="AIW34" s="301"/>
      <c r="AIX34" s="301"/>
      <c r="AIY34" s="301"/>
      <c r="AIZ34" s="301"/>
      <c r="AJA34" s="301"/>
      <c r="AJB34" s="301"/>
      <c r="AJC34" s="301"/>
      <c r="AJD34" s="301"/>
      <c r="AJE34" s="301"/>
      <c r="AJF34" s="301"/>
      <c r="AJG34" s="301"/>
      <c r="AJH34" s="301"/>
      <c r="AJI34" s="301"/>
      <c r="AJJ34" s="301"/>
      <c r="AJK34" s="301"/>
      <c r="AJL34" s="301"/>
      <c r="AJM34" s="301"/>
      <c r="AJN34" s="301"/>
      <c r="AJO34" s="301"/>
      <c r="AJP34" s="301"/>
      <c r="AJQ34" s="301"/>
      <c r="AJR34" s="301"/>
      <c r="AJS34" s="301"/>
      <c r="AJT34" s="301"/>
      <c r="AJU34" s="301"/>
      <c r="AJV34" s="301"/>
      <c r="AJW34" s="301"/>
      <c r="AJX34" s="301"/>
      <c r="AJY34" s="301"/>
      <c r="AJZ34" s="301"/>
      <c r="AKA34" s="301"/>
      <c r="AKB34" s="301"/>
      <c r="AKC34" s="301"/>
      <c r="AKD34" s="301"/>
      <c r="AKE34" s="301"/>
      <c r="AKF34" s="301"/>
      <c r="AKG34" s="301"/>
      <c r="AKH34" s="301"/>
      <c r="AKI34" s="301"/>
      <c r="AKJ34" s="301"/>
      <c r="AKK34" s="301"/>
      <c r="AKL34" s="301"/>
      <c r="AKM34" s="301"/>
      <c r="AKN34" s="301"/>
      <c r="AKO34" s="301"/>
      <c r="AKP34" s="301"/>
      <c r="AKQ34" s="301"/>
      <c r="AKR34" s="301"/>
      <c r="AKS34" s="301"/>
      <c r="AKT34" s="301"/>
      <c r="AKU34" s="301"/>
      <c r="AKV34" s="301"/>
      <c r="AKW34" s="301"/>
      <c r="AKX34" s="301"/>
      <c r="AKY34" s="301"/>
      <c r="AKZ34" s="301"/>
      <c r="ALA34" s="301"/>
      <c r="ALB34" s="301"/>
      <c r="ALC34" s="301"/>
      <c r="ALD34" s="301"/>
      <c r="ALE34" s="301"/>
      <c r="ALF34" s="301"/>
      <c r="ALG34" s="301"/>
      <c r="ALH34" s="301"/>
      <c r="ALI34" s="301"/>
      <c r="ALJ34" s="301"/>
      <c r="ALK34" s="301"/>
      <c r="ALL34" s="301"/>
      <c r="ALM34" s="301"/>
      <c r="ALN34" s="301"/>
      <c r="ALO34" s="301"/>
      <c r="ALP34" s="301"/>
      <c r="ALQ34" s="301"/>
      <c r="ALR34" s="301"/>
      <c r="ALS34" s="301"/>
      <c r="ALT34" s="301"/>
      <c r="ALU34" s="301"/>
      <c r="ALV34" s="301"/>
      <c r="ALW34" s="301"/>
      <c r="ALX34" s="301"/>
      <c r="ALY34" s="301"/>
      <c r="ALZ34" s="301"/>
      <c r="AMA34" s="301"/>
      <c r="AMB34" s="301"/>
      <c r="AMC34" s="301"/>
      <c r="AMD34" s="301"/>
      <c r="AME34" s="301"/>
      <c r="AMF34" s="301"/>
      <c r="AMG34" s="301"/>
      <c r="AMH34" s="301"/>
      <c r="AMI34" s="301"/>
      <c r="AMJ34" s="301"/>
    </row>
    <row r="35" customFormat="false" ht="12.8" hidden="false" customHeight="false" outlineLevel="0" collapsed="false">
      <c r="A35" s="330" t="s">
        <v>214</v>
      </c>
      <c r="B35" s="310"/>
      <c r="C35" s="311" t="str">
        <f aca="false">IF(B35&gt;0,1,"")</f>
        <v/>
      </c>
      <c r="D35" s="310"/>
      <c r="E35" s="311" t="str">
        <f aca="false">IF(D35&gt;0,1,"")</f>
        <v/>
      </c>
      <c r="F35" s="310" t="n">
        <v>0</v>
      </c>
      <c r="G35" s="311" t="str">
        <f aca="false">IF(F35&gt;0,1,"")</f>
        <v/>
      </c>
      <c r="H35" s="310" t="n">
        <v>0</v>
      </c>
      <c r="I35" s="311" t="str">
        <f aca="false">IF(H35&gt;0,1,"")</f>
        <v/>
      </c>
      <c r="J35" s="326" t="str">
        <f aca="false">IF(SUM(C35,E35,G35,I35)&gt;1,"ERROR",IF(B35&gt;=1,B35*52,IF(D35&gt;=1,D35*26,IF(F35&gt;=1,F35*12,IF(H35&gt;=1,H35*4,"")))))</f>
        <v/>
      </c>
      <c r="K35" s="301"/>
      <c r="L35" s="301"/>
      <c r="M35" s="301"/>
      <c r="N35" s="301"/>
      <c r="O35" s="301"/>
      <c r="P35" s="301"/>
      <c r="Q35" s="301"/>
      <c r="R35" s="301"/>
      <c r="S35" s="301"/>
      <c r="T35" s="301"/>
      <c r="U35" s="301"/>
      <c r="V35" s="301"/>
      <c r="W35" s="301"/>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301"/>
      <c r="BC35" s="301"/>
      <c r="BD35" s="301"/>
      <c r="BE35" s="301"/>
      <c r="BF35" s="301"/>
      <c r="BG35" s="301"/>
      <c r="BH35" s="301"/>
      <c r="BI35" s="301"/>
      <c r="BJ35" s="301"/>
      <c r="BK35" s="301"/>
      <c r="BL35" s="301"/>
      <c r="BM35" s="301"/>
      <c r="BN35" s="301"/>
      <c r="BO35" s="301"/>
      <c r="BP35" s="301"/>
      <c r="BQ35" s="301"/>
      <c r="BR35" s="301"/>
      <c r="BS35" s="301"/>
      <c r="BT35" s="301"/>
      <c r="BU35" s="301"/>
      <c r="BV35" s="301"/>
      <c r="BW35" s="301"/>
      <c r="BX35" s="301"/>
      <c r="BY35" s="301"/>
      <c r="BZ35" s="301"/>
      <c r="CA35" s="301"/>
      <c r="CB35" s="301"/>
      <c r="CC35" s="301"/>
      <c r="CD35" s="301"/>
      <c r="CE35" s="301"/>
      <c r="CF35" s="301"/>
      <c r="CG35" s="301"/>
      <c r="CH35" s="301"/>
      <c r="CI35" s="301"/>
      <c r="CJ35" s="301"/>
      <c r="CK35" s="301"/>
      <c r="CL35" s="301"/>
      <c r="CM35" s="301"/>
      <c r="CN35" s="301"/>
      <c r="CO35" s="301"/>
      <c r="CP35" s="301"/>
      <c r="CQ35" s="301"/>
      <c r="CR35" s="301"/>
      <c r="CS35" s="301"/>
      <c r="CT35" s="301"/>
      <c r="CU35" s="301"/>
      <c r="CV35" s="301"/>
      <c r="CW35" s="301"/>
      <c r="CX35" s="301"/>
      <c r="CY35" s="301"/>
      <c r="CZ35" s="301"/>
      <c r="DA35" s="301"/>
      <c r="DB35" s="301"/>
      <c r="DC35" s="301"/>
      <c r="DD35" s="301"/>
      <c r="DE35" s="301"/>
      <c r="DF35" s="301"/>
      <c r="DG35" s="301"/>
      <c r="DH35" s="301"/>
      <c r="DI35" s="301"/>
      <c r="DJ35" s="301"/>
      <c r="DK35" s="301"/>
      <c r="DL35" s="301"/>
      <c r="DM35" s="301"/>
      <c r="DN35" s="301"/>
      <c r="DO35" s="301"/>
      <c r="DP35" s="301"/>
      <c r="DQ35" s="301"/>
      <c r="DR35" s="301"/>
      <c r="DS35" s="301"/>
      <c r="DT35" s="301"/>
      <c r="DU35" s="301"/>
      <c r="DV35" s="301"/>
      <c r="DW35" s="301"/>
      <c r="DX35" s="301"/>
      <c r="DY35" s="301"/>
      <c r="DZ35" s="301"/>
      <c r="EA35" s="301"/>
      <c r="EB35" s="301"/>
      <c r="EC35" s="301"/>
      <c r="ED35" s="301"/>
      <c r="EE35" s="301"/>
      <c r="EF35" s="301"/>
      <c r="EG35" s="301"/>
      <c r="EH35" s="301"/>
      <c r="EI35" s="301"/>
      <c r="EJ35" s="301"/>
      <c r="EK35" s="301"/>
      <c r="EL35" s="301"/>
      <c r="EM35" s="301"/>
      <c r="EN35" s="301"/>
      <c r="EO35" s="301"/>
      <c r="EP35" s="301"/>
      <c r="EQ35" s="301"/>
      <c r="ER35" s="301"/>
      <c r="ES35" s="301"/>
      <c r="ET35" s="301"/>
      <c r="EU35" s="301"/>
      <c r="EV35" s="301"/>
      <c r="EW35" s="301"/>
      <c r="EX35" s="301"/>
      <c r="EY35" s="301"/>
      <c r="EZ35" s="301"/>
      <c r="FA35" s="301"/>
      <c r="FB35" s="301"/>
      <c r="FC35" s="301"/>
      <c r="FD35" s="301"/>
      <c r="FE35" s="301"/>
      <c r="FF35" s="301"/>
      <c r="FG35" s="301"/>
      <c r="FH35" s="301"/>
      <c r="FI35" s="301"/>
      <c r="FJ35" s="301"/>
      <c r="FK35" s="301"/>
      <c r="FL35" s="301"/>
      <c r="FM35" s="301"/>
      <c r="FN35" s="301"/>
      <c r="FO35" s="301"/>
      <c r="FP35" s="301"/>
      <c r="FQ35" s="301"/>
      <c r="FR35" s="301"/>
      <c r="FS35" s="301"/>
      <c r="FT35" s="301"/>
      <c r="FU35" s="301"/>
      <c r="FV35" s="301"/>
      <c r="FW35" s="301"/>
      <c r="FX35" s="301"/>
      <c r="FY35" s="301"/>
      <c r="FZ35" s="301"/>
      <c r="GA35" s="301"/>
      <c r="GB35" s="301"/>
      <c r="GC35" s="301"/>
      <c r="GD35" s="301"/>
      <c r="GE35" s="301"/>
      <c r="GF35" s="301"/>
      <c r="GG35" s="301"/>
      <c r="GH35" s="301"/>
      <c r="GI35" s="301"/>
      <c r="GJ35" s="301"/>
      <c r="GK35" s="301"/>
      <c r="GL35" s="301"/>
      <c r="GM35" s="301"/>
      <c r="GN35" s="301"/>
      <c r="GO35" s="301"/>
      <c r="GP35" s="301"/>
      <c r="GQ35" s="301"/>
      <c r="GR35" s="301"/>
      <c r="GS35" s="301"/>
      <c r="GT35" s="301"/>
      <c r="GU35" s="301"/>
      <c r="GV35" s="301"/>
      <c r="GW35" s="301"/>
      <c r="GX35" s="301"/>
      <c r="GY35" s="301"/>
      <c r="GZ35" s="301"/>
      <c r="HA35" s="301"/>
      <c r="HB35" s="301"/>
      <c r="HC35" s="301"/>
      <c r="HD35" s="301"/>
      <c r="HE35" s="301"/>
      <c r="HF35" s="301"/>
      <c r="HG35" s="301"/>
      <c r="HH35" s="301"/>
      <c r="HI35" s="301"/>
      <c r="HJ35" s="301"/>
      <c r="HK35" s="301"/>
      <c r="HL35" s="301"/>
      <c r="HM35" s="301"/>
      <c r="HN35" s="301"/>
      <c r="HO35" s="301"/>
      <c r="HP35" s="301"/>
      <c r="HQ35" s="301"/>
      <c r="HR35" s="301"/>
      <c r="HS35" s="301"/>
      <c r="HT35" s="301"/>
      <c r="HU35" s="301"/>
      <c r="HV35" s="301"/>
      <c r="HW35" s="301"/>
      <c r="HX35" s="301"/>
      <c r="HY35" s="301"/>
      <c r="HZ35" s="301"/>
      <c r="IA35" s="301"/>
      <c r="IB35" s="301"/>
      <c r="IC35" s="301"/>
      <c r="ID35" s="301"/>
      <c r="IE35" s="301"/>
      <c r="IF35" s="301"/>
      <c r="IG35" s="301"/>
      <c r="IH35" s="301"/>
      <c r="II35" s="301"/>
      <c r="IJ35" s="301"/>
      <c r="IK35" s="301"/>
      <c r="IL35" s="301"/>
      <c r="IM35" s="301"/>
      <c r="IN35" s="301"/>
      <c r="IO35" s="301"/>
      <c r="IP35" s="301"/>
      <c r="IQ35" s="301"/>
      <c r="IR35" s="301"/>
      <c r="IS35" s="301"/>
      <c r="IT35" s="301"/>
      <c r="IU35" s="301"/>
      <c r="IV35" s="301"/>
      <c r="IW35" s="301"/>
      <c r="IX35" s="301"/>
      <c r="IY35" s="301"/>
      <c r="IZ35" s="301"/>
      <c r="JA35" s="301"/>
      <c r="JB35" s="301"/>
      <c r="JC35" s="301"/>
      <c r="JD35" s="301"/>
      <c r="JE35" s="301"/>
      <c r="JF35" s="301"/>
      <c r="JG35" s="301"/>
      <c r="JH35" s="301"/>
      <c r="JI35" s="301"/>
      <c r="JJ35" s="301"/>
      <c r="JK35" s="301"/>
      <c r="JL35" s="301"/>
      <c r="JM35" s="301"/>
      <c r="JN35" s="301"/>
      <c r="JO35" s="301"/>
      <c r="JP35" s="301"/>
      <c r="JQ35" s="301"/>
      <c r="JR35" s="301"/>
      <c r="JS35" s="301"/>
      <c r="JT35" s="301"/>
      <c r="JU35" s="301"/>
      <c r="JV35" s="301"/>
      <c r="JW35" s="301"/>
      <c r="JX35" s="301"/>
      <c r="JY35" s="301"/>
      <c r="JZ35" s="301"/>
      <c r="KA35" s="301"/>
      <c r="KB35" s="301"/>
      <c r="KC35" s="301"/>
      <c r="KD35" s="301"/>
      <c r="KE35" s="301"/>
      <c r="KF35" s="301"/>
      <c r="KG35" s="301"/>
      <c r="KH35" s="301"/>
      <c r="KI35" s="301"/>
      <c r="KJ35" s="301"/>
      <c r="KK35" s="301"/>
      <c r="KL35" s="301"/>
      <c r="KM35" s="301"/>
      <c r="KN35" s="301"/>
      <c r="KO35" s="301"/>
      <c r="KP35" s="301"/>
      <c r="KQ35" s="301"/>
      <c r="KR35" s="301"/>
      <c r="KS35" s="301"/>
      <c r="KT35" s="301"/>
      <c r="KU35" s="301"/>
      <c r="KV35" s="301"/>
      <c r="KW35" s="301"/>
      <c r="KX35" s="301"/>
      <c r="KY35" s="301"/>
      <c r="KZ35" s="301"/>
      <c r="LA35" s="301"/>
      <c r="LB35" s="301"/>
      <c r="LC35" s="301"/>
      <c r="LD35" s="301"/>
      <c r="LE35" s="301"/>
      <c r="LF35" s="301"/>
      <c r="LG35" s="301"/>
      <c r="LH35" s="301"/>
      <c r="LI35" s="301"/>
      <c r="LJ35" s="301"/>
      <c r="LK35" s="301"/>
      <c r="LL35" s="301"/>
      <c r="LM35" s="301"/>
      <c r="LN35" s="301"/>
      <c r="LO35" s="301"/>
      <c r="LP35" s="301"/>
      <c r="LQ35" s="301"/>
      <c r="LR35" s="301"/>
      <c r="LS35" s="301"/>
      <c r="LT35" s="301"/>
      <c r="LU35" s="301"/>
      <c r="LV35" s="301"/>
      <c r="LW35" s="301"/>
      <c r="LX35" s="301"/>
      <c r="LY35" s="301"/>
      <c r="LZ35" s="301"/>
      <c r="MA35" s="301"/>
      <c r="MB35" s="301"/>
      <c r="MC35" s="301"/>
      <c r="MD35" s="301"/>
      <c r="ME35" s="301"/>
      <c r="MF35" s="301"/>
      <c r="MG35" s="301"/>
      <c r="MH35" s="301"/>
      <c r="MI35" s="301"/>
      <c r="MJ35" s="301"/>
      <c r="MK35" s="301"/>
      <c r="ML35" s="301"/>
      <c r="MM35" s="301"/>
      <c r="MN35" s="301"/>
      <c r="MO35" s="301"/>
      <c r="MP35" s="301"/>
      <c r="MQ35" s="301"/>
      <c r="MR35" s="301"/>
      <c r="MS35" s="301"/>
      <c r="MT35" s="301"/>
      <c r="MU35" s="301"/>
      <c r="MV35" s="301"/>
      <c r="MW35" s="301"/>
      <c r="MX35" s="301"/>
      <c r="MY35" s="301"/>
      <c r="MZ35" s="301"/>
      <c r="NA35" s="301"/>
      <c r="NB35" s="301"/>
      <c r="NC35" s="301"/>
      <c r="ND35" s="301"/>
      <c r="NE35" s="301"/>
      <c r="NF35" s="301"/>
      <c r="NG35" s="301"/>
      <c r="NH35" s="301"/>
      <c r="NI35" s="301"/>
      <c r="NJ35" s="301"/>
      <c r="NK35" s="301"/>
      <c r="NL35" s="301"/>
      <c r="NM35" s="301"/>
      <c r="NN35" s="301"/>
      <c r="NO35" s="301"/>
      <c r="NP35" s="301"/>
      <c r="NQ35" s="301"/>
      <c r="NR35" s="301"/>
      <c r="NS35" s="301"/>
      <c r="NT35" s="301"/>
      <c r="NU35" s="301"/>
      <c r="NV35" s="301"/>
      <c r="NW35" s="301"/>
      <c r="NX35" s="301"/>
      <c r="NY35" s="301"/>
      <c r="NZ35" s="301"/>
      <c r="OA35" s="301"/>
      <c r="OB35" s="301"/>
      <c r="OC35" s="301"/>
      <c r="OD35" s="301"/>
      <c r="OE35" s="301"/>
      <c r="OF35" s="301"/>
      <c r="OG35" s="301"/>
      <c r="OH35" s="301"/>
      <c r="OI35" s="301"/>
      <c r="OJ35" s="301"/>
      <c r="OK35" s="301"/>
      <c r="OL35" s="301"/>
      <c r="OM35" s="301"/>
      <c r="ON35" s="301"/>
      <c r="OO35" s="301"/>
      <c r="OP35" s="301"/>
      <c r="OQ35" s="301"/>
      <c r="OR35" s="301"/>
      <c r="OS35" s="301"/>
      <c r="OT35" s="301"/>
      <c r="OU35" s="301"/>
      <c r="OV35" s="301"/>
      <c r="OW35" s="301"/>
      <c r="OX35" s="301"/>
      <c r="OY35" s="301"/>
      <c r="OZ35" s="301"/>
      <c r="PA35" s="301"/>
      <c r="PB35" s="301"/>
      <c r="PC35" s="301"/>
      <c r="PD35" s="301"/>
      <c r="PE35" s="301"/>
      <c r="PF35" s="301"/>
      <c r="PG35" s="301"/>
      <c r="PH35" s="301"/>
      <c r="PI35" s="301"/>
      <c r="PJ35" s="301"/>
      <c r="PK35" s="301"/>
      <c r="PL35" s="301"/>
      <c r="PM35" s="301"/>
      <c r="PN35" s="301"/>
      <c r="PO35" s="301"/>
      <c r="PP35" s="301"/>
      <c r="PQ35" s="301"/>
      <c r="PR35" s="301"/>
      <c r="PS35" s="301"/>
      <c r="PT35" s="301"/>
      <c r="PU35" s="301"/>
      <c r="PV35" s="301"/>
      <c r="PW35" s="301"/>
      <c r="PX35" s="301"/>
      <c r="PY35" s="301"/>
      <c r="PZ35" s="301"/>
      <c r="QA35" s="301"/>
      <c r="QB35" s="301"/>
      <c r="QC35" s="301"/>
      <c r="QD35" s="301"/>
      <c r="QE35" s="301"/>
      <c r="QF35" s="301"/>
      <c r="QG35" s="301"/>
      <c r="QH35" s="301"/>
      <c r="QI35" s="301"/>
      <c r="QJ35" s="301"/>
      <c r="QK35" s="301"/>
      <c r="QL35" s="301"/>
      <c r="QM35" s="301"/>
      <c r="QN35" s="301"/>
      <c r="QO35" s="301"/>
      <c r="QP35" s="301"/>
      <c r="QQ35" s="301"/>
      <c r="QR35" s="301"/>
      <c r="QS35" s="301"/>
      <c r="QT35" s="301"/>
      <c r="QU35" s="301"/>
      <c r="QV35" s="301"/>
      <c r="QW35" s="301"/>
      <c r="QX35" s="301"/>
      <c r="QY35" s="301"/>
      <c r="QZ35" s="301"/>
      <c r="RA35" s="301"/>
      <c r="RB35" s="301"/>
      <c r="RC35" s="301"/>
      <c r="RD35" s="301"/>
      <c r="RE35" s="301"/>
      <c r="RF35" s="301"/>
      <c r="RG35" s="301"/>
      <c r="RH35" s="301"/>
      <c r="RI35" s="301"/>
      <c r="RJ35" s="301"/>
      <c r="RK35" s="301"/>
      <c r="RL35" s="301"/>
      <c r="RM35" s="301"/>
      <c r="RN35" s="301"/>
      <c r="RO35" s="301"/>
      <c r="RP35" s="301"/>
      <c r="RQ35" s="301"/>
      <c r="RR35" s="301"/>
      <c r="RS35" s="301"/>
      <c r="RT35" s="301"/>
      <c r="RU35" s="301"/>
      <c r="RV35" s="301"/>
      <c r="RW35" s="301"/>
      <c r="RX35" s="301"/>
      <c r="RY35" s="301"/>
      <c r="RZ35" s="301"/>
      <c r="SA35" s="301"/>
      <c r="SB35" s="301"/>
      <c r="SC35" s="301"/>
      <c r="SD35" s="301"/>
      <c r="SE35" s="301"/>
      <c r="SF35" s="301"/>
      <c r="SG35" s="301"/>
      <c r="SH35" s="301"/>
      <c r="SI35" s="301"/>
      <c r="SJ35" s="301"/>
      <c r="SK35" s="301"/>
      <c r="SL35" s="301"/>
      <c r="SM35" s="301"/>
      <c r="SN35" s="301"/>
      <c r="SO35" s="301"/>
      <c r="SP35" s="301"/>
      <c r="SQ35" s="301"/>
      <c r="SR35" s="301"/>
      <c r="SS35" s="301"/>
      <c r="ST35" s="301"/>
      <c r="SU35" s="301"/>
      <c r="SV35" s="301"/>
      <c r="SW35" s="301"/>
      <c r="SX35" s="301"/>
      <c r="SY35" s="301"/>
      <c r="SZ35" s="301"/>
      <c r="TA35" s="301"/>
      <c r="TB35" s="301"/>
      <c r="TC35" s="301"/>
      <c r="TD35" s="301"/>
      <c r="TE35" s="301"/>
      <c r="TF35" s="301"/>
      <c r="TG35" s="301"/>
      <c r="TH35" s="301"/>
      <c r="TI35" s="301"/>
      <c r="TJ35" s="301"/>
      <c r="TK35" s="301"/>
      <c r="TL35" s="301"/>
      <c r="TM35" s="301"/>
      <c r="TN35" s="301"/>
      <c r="TO35" s="301"/>
      <c r="TP35" s="301"/>
      <c r="TQ35" s="301"/>
      <c r="TR35" s="301"/>
      <c r="TS35" s="301"/>
      <c r="TT35" s="301"/>
      <c r="TU35" s="301"/>
      <c r="TV35" s="301"/>
      <c r="TW35" s="301"/>
      <c r="TX35" s="301"/>
      <c r="TY35" s="301"/>
      <c r="TZ35" s="301"/>
      <c r="UA35" s="301"/>
      <c r="UB35" s="301"/>
      <c r="UC35" s="301"/>
      <c r="UD35" s="301"/>
      <c r="UE35" s="301"/>
      <c r="UF35" s="301"/>
      <c r="UG35" s="301"/>
      <c r="UH35" s="301"/>
      <c r="UI35" s="301"/>
      <c r="UJ35" s="301"/>
      <c r="UK35" s="301"/>
      <c r="UL35" s="301"/>
      <c r="UM35" s="301"/>
      <c r="UN35" s="301"/>
      <c r="UO35" s="301"/>
      <c r="UP35" s="301"/>
      <c r="UQ35" s="301"/>
      <c r="UR35" s="301"/>
      <c r="US35" s="301"/>
      <c r="UT35" s="301"/>
      <c r="UU35" s="301"/>
      <c r="UV35" s="301"/>
      <c r="UW35" s="301"/>
      <c r="UX35" s="301"/>
      <c r="UY35" s="301"/>
      <c r="UZ35" s="301"/>
      <c r="VA35" s="301"/>
      <c r="VB35" s="301"/>
      <c r="VC35" s="301"/>
      <c r="VD35" s="301"/>
      <c r="VE35" s="301"/>
      <c r="VF35" s="301"/>
      <c r="VG35" s="301"/>
      <c r="VH35" s="301"/>
      <c r="VI35" s="301"/>
      <c r="VJ35" s="301"/>
      <c r="VK35" s="301"/>
      <c r="VL35" s="301"/>
      <c r="VM35" s="301"/>
      <c r="VN35" s="301"/>
      <c r="VO35" s="301"/>
      <c r="VP35" s="301"/>
      <c r="VQ35" s="301"/>
      <c r="VR35" s="301"/>
      <c r="VS35" s="301"/>
      <c r="VT35" s="301"/>
      <c r="VU35" s="301"/>
      <c r="VV35" s="301"/>
      <c r="VW35" s="301"/>
      <c r="VX35" s="301"/>
      <c r="VY35" s="301"/>
      <c r="VZ35" s="301"/>
      <c r="WA35" s="301"/>
      <c r="WB35" s="301"/>
      <c r="WC35" s="301"/>
      <c r="WD35" s="301"/>
      <c r="WE35" s="301"/>
      <c r="WF35" s="301"/>
      <c r="WG35" s="301"/>
      <c r="WH35" s="301"/>
      <c r="WI35" s="301"/>
      <c r="WJ35" s="301"/>
      <c r="WK35" s="301"/>
      <c r="WL35" s="301"/>
      <c r="WM35" s="301"/>
      <c r="WN35" s="301"/>
      <c r="WO35" s="301"/>
      <c r="WP35" s="301"/>
      <c r="WQ35" s="301"/>
      <c r="WR35" s="301"/>
      <c r="WS35" s="301"/>
      <c r="WT35" s="301"/>
      <c r="WU35" s="301"/>
      <c r="WV35" s="301"/>
      <c r="WW35" s="301"/>
      <c r="WX35" s="301"/>
      <c r="WY35" s="301"/>
      <c r="WZ35" s="301"/>
      <c r="XA35" s="301"/>
      <c r="XB35" s="301"/>
      <c r="XC35" s="301"/>
      <c r="XD35" s="301"/>
      <c r="XE35" s="301"/>
      <c r="XF35" s="301"/>
      <c r="XG35" s="301"/>
      <c r="XH35" s="301"/>
      <c r="XI35" s="301"/>
      <c r="XJ35" s="301"/>
      <c r="XK35" s="301"/>
      <c r="XL35" s="301"/>
      <c r="XM35" s="301"/>
      <c r="XN35" s="301"/>
      <c r="XO35" s="301"/>
      <c r="XP35" s="301"/>
      <c r="XQ35" s="301"/>
      <c r="XR35" s="301"/>
      <c r="XS35" s="301"/>
      <c r="XT35" s="301"/>
      <c r="XU35" s="301"/>
      <c r="XV35" s="301"/>
      <c r="XW35" s="301"/>
      <c r="XX35" s="301"/>
      <c r="XY35" s="301"/>
      <c r="XZ35" s="301"/>
      <c r="YA35" s="301"/>
      <c r="YB35" s="301"/>
      <c r="YC35" s="301"/>
      <c r="YD35" s="301"/>
      <c r="YE35" s="301"/>
      <c r="YF35" s="301"/>
      <c r="YG35" s="301"/>
      <c r="YH35" s="301"/>
      <c r="YI35" s="301"/>
      <c r="YJ35" s="301"/>
      <c r="YK35" s="301"/>
      <c r="YL35" s="301"/>
      <c r="YM35" s="301"/>
      <c r="YN35" s="301"/>
      <c r="YO35" s="301"/>
      <c r="YP35" s="301"/>
      <c r="YQ35" s="301"/>
      <c r="YR35" s="301"/>
      <c r="YS35" s="301"/>
      <c r="YT35" s="301"/>
      <c r="YU35" s="301"/>
      <c r="YV35" s="301"/>
      <c r="YW35" s="301"/>
      <c r="YX35" s="301"/>
      <c r="YY35" s="301"/>
      <c r="YZ35" s="301"/>
      <c r="ZA35" s="301"/>
      <c r="ZB35" s="301"/>
      <c r="ZC35" s="301"/>
      <c r="ZD35" s="301"/>
      <c r="ZE35" s="301"/>
      <c r="ZF35" s="301"/>
      <c r="ZG35" s="301"/>
      <c r="ZH35" s="301"/>
      <c r="ZI35" s="301"/>
      <c r="ZJ35" s="301"/>
      <c r="ZK35" s="301"/>
      <c r="ZL35" s="301"/>
      <c r="ZM35" s="301"/>
      <c r="ZN35" s="301"/>
      <c r="ZO35" s="301"/>
      <c r="ZP35" s="301"/>
      <c r="ZQ35" s="301"/>
      <c r="ZR35" s="301"/>
      <c r="ZS35" s="301"/>
      <c r="ZT35" s="301"/>
      <c r="ZU35" s="301"/>
      <c r="ZV35" s="301"/>
      <c r="ZW35" s="301"/>
      <c r="ZX35" s="301"/>
      <c r="ZY35" s="301"/>
      <c r="ZZ35" s="301"/>
      <c r="AAA35" s="301"/>
      <c r="AAB35" s="301"/>
      <c r="AAC35" s="301"/>
      <c r="AAD35" s="301"/>
      <c r="AAE35" s="301"/>
      <c r="AAF35" s="301"/>
      <c r="AAG35" s="301"/>
      <c r="AAH35" s="301"/>
      <c r="AAI35" s="301"/>
      <c r="AAJ35" s="301"/>
      <c r="AAK35" s="301"/>
      <c r="AAL35" s="301"/>
      <c r="AAM35" s="301"/>
      <c r="AAN35" s="301"/>
      <c r="AAO35" s="301"/>
      <c r="AAP35" s="301"/>
      <c r="AAQ35" s="301"/>
      <c r="AAR35" s="301"/>
      <c r="AAS35" s="301"/>
      <c r="AAT35" s="301"/>
      <c r="AAU35" s="301"/>
      <c r="AAV35" s="301"/>
      <c r="AAW35" s="301"/>
      <c r="AAX35" s="301"/>
      <c r="AAY35" s="301"/>
      <c r="AAZ35" s="301"/>
      <c r="ABA35" s="301"/>
      <c r="ABB35" s="301"/>
      <c r="ABC35" s="301"/>
      <c r="ABD35" s="301"/>
      <c r="ABE35" s="301"/>
      <c r="ABF35" s="301"/>
      <c r="ABG35" s="301"/>
      <c r="ABH35" s="301"/>
      <c r="ABI35" s="301"/>
      <c r="ABJ35" s="301"/>
      <c r="ABK35" s="301"/>
      <c r="ABL35" s="301"/>
      <c r="ABM35" s="301"/>
      <c r="ABN35" s="301"/>
      <c r="ABO35" s="301"/>
      <c r="ABP35" s="301"/>
      <c r="ABQ35" s="301"/>
      <c r="ABR35" s="301"/>
      <c r="ABS35" s="301"/>
      <c r="ABT35" s="301"/>
      <c r="ABU35" s="301"/>
      <c r="ABV35" s="301"/>
      <c r="ABW35" s="301"/>
      <c r="ABX35" s="301"/>
      <c r="ABY35" s="301"/>
      <c r="ABZ35" s="301"/>
      <c r="ACA35" s="301"/>
      <c r="ACB35" s="301"/>
      <c r="ACC35" s="301"/>
      <c r="ACD35" s="301"/>
      <c r="ACE35" s="301"/>
      <c r="ACF35" s="301"/>
      <c r="ACG35" s="301"/>
      <c r="ACH35" s="301"/>
      <c r="ACI35" s="301"/>
      <c r="ACJ35" s="301"/>
      <c r="ACK35" s="301"/>
      <c r="ACL35" s="301"/>
      <c r="ACM35" s="301"/>
      <c r="ACN35" s="301"/>
      <c r="ACO35" s="301"/>
      <c r="ACP35" s="301"/>
      <c r="ACQ35" s="301"/>
      <c r="ACR35" s="301"/>
      <c r="ACS35" s="301"/>
      <c r="ACT35" s="301"/>
      <c r="ACU35" s="301"/>
      <c r="ACV35" s="301"/>
      <c r="ACW35" s="301"/>
      <c r="ACX35" s="301"/>
      <c r="ACY35" s="301"/>
      <c r="ACZ35" s="301"/>
      <c r="ADA35" s="301"/>
      <c r="ADB35" s="301"/>
      <c r="ADC35" s="301"/>
      <c r="ADD35" s="301"/>
      <c r="ADE35" s="301"/>
      <c r="ADF35" s="301"/>
      <c r="ADG35" s="301"/>
      <c r="ADH35" s="301"/>
      <c r="ADI35" s="301"/>
      <c r="ADJ35" s="301"/>
      <c r="ADK35" s="301"/>
      <c r="ADL35" s="301"/>
      <c r="ADM35" s="301"/>
      <c r="ADN35" s="301"/>
      <c r="ADO35" s="301"/>
      <c r="ADP35" s="301"/>
      <c r="ADQ35" s="301"/>
      <c r="ADR35" s="301"/>
      <c r="ADS35" s="301"/>
      <c r="ADT35" s="301"/>
      <c r="ADU35" s="301"/>
      <c r="ADV35" s="301"/>
      <c r="ADW35" s="301"/>
      <c r="ADX35" s="301"/>
      <c r="ADY35" s="301"/>
      <c r="ADZ35" s="301"/>
      <c r="AEA35" s="301"/>
      <c r="AEB35" s="301"/>
      <c r="AEC35" s="301"/>
      <c r="AED35" s="301"/>
      <c r="AEE35" s="301"/>
      <c r="AEF35" s="301"/>
      <c r="AEG35" s="301"/>
      <c r="AEH35" s="301"/>
      <c r="AEI35" s="301"/>
      <c r="AEJ35" s="301"/>
      <c r="AEK35" s="301"/>
      <c r="AEL35" s="301"/>
      <c r="AEM35" s="301"/>
      <c r="AEN35" s="301"/>
      <c r="AEO35" s="301"/>
      <c r="AEP35" s="301"/>
      <c r="AEQ35" s="301"/>
      <c r="AER35" s="301"/>
      <c r="AES35" s="301"/>
      <c r="AET35" s="301"/>
      <c r="AEU35" s="301"/>
      <c r="AEV35" s="301"/>
      <c r="AEW35" s="301"/>
      <c r="AEX35" s="301"/>
      <c r="AEY35" s="301"/>
      <c r="AEZ35" s="301"/>
      <c r="AFA35" s="301"/>
      <c r="AFB35" s="301"/>
      <c r="AFC35" s="301"/>
      <c r="AFD35" s="301"/>
      <c r="AFE35" s="301"/>
      <c r="AFF35" s="301"/>
      <c r="AFG35" s="301"/>
      <c r="AFH35" s="301"/>
      <c r="AFI35" s="301"/>
      <c r="AFJ35" s="301"/>
      <c r="AFK35" s="301"/>
      <c r="AFL35" s="301"/>
      <c r="AFM35" s="301"/>
      <c r="AFN35" s="301"/>
      <c r="AFO35" s="301"/>
      <c r="AFP35" s="301"/>
      <c r="AFQ35" s="301"/>
      <c r="AFR35" s="301"/>
      <c r="AFS35" s="301"/>
      <c r="AFT35" s="301"/>
      <c r="AFU35" s="301"/>
      <c r="AFV35" s="301"/>
      <c r="AFW35" s="301"/>
      <c r="AFX35" s="301"/>
      <c r="AFY35" s="301"/>
      <c r="AFZ35" s="301"/>
      <c r="AGA35" s="301"/>
      <c r="AGB35" s="301"/>
      <c r="AGC35" s="301"/>
      <c r="AGD35" s="301"/>
      <c r="AGE35" s="301"/>
      <c r="AGF35" s="301"/>
      <c r="AGG35" s="301"/>
      <c r="AGH35" s="301"/>
      <c r="AGI35" s="301"/>
      <c r="AGJ35" s="301"/>
      <c r="AGK35" s="301"/>
      <c r="AGL35" s="301"/>
      <c r="AGM35" s="301"/>
      <c r="AGN35" s="301"/>
      <c r="AGO35" s="301"/>
      <c r="AGP35" s="301"/>
      <c r="AGQ35" s="301"/>
      <c r="AGR35" s="301"/>
      <c r="AGS35" s="301"/>
      <c r="AGT35" s="301"/>
      <c r="AGU35" s="301"/>
      <c r="AGV35" s="301"/>
      <c r="AGW35" s="301"/>
      <c r="AGX35" s="301"/>
      <c r="AGY35" s="301"/>
      <c r="AGZ35" s="301"/>
      <c r="AHA35" s="301"/>
      <c r="AHB35" s="301"/>
      <c r="AHC35" s="301"/>
      <c r="AHD35" s="301"/>
      <c r="AHE35" s="301"/>
      <c r="AHF35" s="301"/>
      <c r="AHG35" s="301"/>
      <c r="AHH35" s="301"/>
      <c r="AHI35" s="301"/>
      <c r="AHJ35" s="301"/>
      <c r="AHK35" s="301"/>
      <c r="AHL35" s="301"/>
      <c r="AHM35" s="301"/>
      <c r="AHN35" s="301"/>
      <c r="AHO35" s="301"/>
      <c r="AHP35" s="301"/>
      <c r="AHQ35" s="301"/>
      <c r="AHR35" s="301"/>
      <c r="AHS35" s="301"/>
      <c r="AHT35" s="301"/>
      <c r="AHU35" s="301"/>
      <c r="AHV35" s="301"/>
      <c r="AHW35" s="301"/>
      <c r="AHX35" s="301"/>
      <c r="AHY35" s="301"/>
      <c r="AHZ35" s="301"/>
      <c r="AIA35" s="301"/>
      <c r="AIB35" s="301"/>
      <c r="AIC35" s="301"/>
      <c r="AID35" s="301"/>
      <c r="AIE35" s="301"/>
      <c r="AIF35" s="301"/>
      <c r="AIG35" s="301"/>
      <c r="AIH35" s="301"/>
      <c r="AII35" s="301"/>
      <c r="AIJ35" s="301"/>
      <c r="AIK35" s="301"/>
      <c r="AIL35" s="301"/>
      <c r="AIM35" s="301"/>
      <c r="AIN35" s="301"/>
      <c r="AIO35" s="301"/>
      <c r="AIP35" s="301"/>
      <c r="AIQ35" s="301"/>
      <c r="AIR35" s="301"/>
      <c r="AIS35" s="301"/>
      <c r="AIT35" s="301"/>
      <c r="AIU35" s="301"/>
      <c r="AIV35" s="301"/>
      <c r="AIW35" s="301"/>
      <c r="AIX35" s="301"/>
      <c r="AIY35" s="301"/>
      <c r="AIZ35" s="301"/>
      <c r="AJA35" s="301"/>
      <c r="AJB35" s="301"/>
      <c r="AJC35" s="301"/>
      <c r="AJD35" s="301"/>
      <c r="AJE35" s="301"/>
      <c r="AJF35" s="301"/>
      <c r="AJG35" s="301"/>
      <c r="AJH35" s="301"/>
      <c r="AJI35" s="301"/>
      <c r="AJJ35" s="301"/>
      <c r="AJK35" s="301"/>
      <c r="AJL35" s="301"/>
      <c r="AJM35" s="301"/>
      <c r="AJN35" s="301"/>
      <c r="AJO35" s="301"/>
      <c r="AJP35" s="301"/>
      <c r="AJQ35" s="301"/>
      <c r="AJR35" s="301"/>
      <c r="AJS35" s="301"/>
      <c r="AJT35" s="301"/>
      <c r="AJU35" s="301"/>
      <c r="AJV35" s="301"/>
      <c r="AJW35" s="301"/>
      <c r="AJX35" s="301"/>
      <c r="AJY35" s="301"/>
      <c r="AJZ35" s="301"/>
      <c r="AKA35" s="301"/>
      <c r="AKB35" s="301"/>
      <c r="AKC35" s="301"/>
      <c r="AKD35" s="301"/>
      <c r="AKE35" s="301"/>
      <c r="AKF35" s="301"/>
      <c r="AKG35" s="301"/>
      <c r="AKH35" s="301"/>
      <c r="AKI35" s="301"/>
      <c r="AKJ35" s="301"/>
      <c r="AKK35" s="301"/>
      <c r="AKL35" s="301"/>
      <c r="AKM35" s="301"/>
      <c r="AKN35" s="301"/>
      <c r="AKO35" s="301"/>
      <c r="AKP35" s="301"/>
      <c r="AKQ35" s="301"/>
      <c r="AKR35" s="301"/>
      <c r="AKS35" s="301"/>
      <c r="AKT35" s="301"/>
      <c r="AKU35" s="301"/>
      <c r="AKV35" s="301"/>
      <c r="AKW35" s="301"/>
      <c r="AKX35" s="301"/>
      <c r="AKY35" s="301"/>
      <c r="AKZ35" s="301"/>
      <c r="ALA35" s="301"/>
      <c r="ALB35" s="301"/>
      <c r="ALC35" s="301"/>
      <c r="ALD35" s="301"/>
      <c r="ALE35" s="301"/>
      <c r="ALF35" s="301"/>
      <c r="ALG35" s="301"/>
      <c r="ALH35" s="301"/>
      <c r="ALI35" s="301"/>
      <c r="ALJ35" s="301"/>
      <c r="ALK35" s="301"/>
      <c r="ALL35" s="301"/>
      <c r="ALM35" s="301"/>
      <c r="ALN35" s="301"/>
      <c r="ALO35" s="301"/>
      <c r="ALP35" s="301"/>
      <c r="ALQ35" s="301"/>
      <c r="ALR35" s="301"/>
      <c r="ALS35" s="301"/>
      <c r="ALT35" s="301"/>
      <c r="ALU35" s="301"/>
      <c r="ALV35" s="301"/>
      <c r="ALW35" s="301"/>
      <c r="ALX35" s="301"/>
      <c r="ALY35" s="301"/>
      <c r="ALZ35" s="301"/>
      <c r="AMA35" s="301"/>
      <c r="AMB35" s="301"/>
      <c r="AMC35" s="301"/>
      <c r="AMD35" s="301"/>
      <c r="AME35" s="301"/>
      <c r="AMF35" s="301"/>
      <c r="AMG35" s="301"/>
      <c r="AMH35" s="301"/>
      <c r="AMI35" s="301"/>
      <c r="AMJ35" s="301"/>
    </row>
    <row r="36" customFormat="false" ht="12.8" hidden="false" customHeight="false" outlineLevel="0" collapsed="false">
      <c r="A36" s="299" t="s">
        <v>215</v>
      </c>
      <c r="B36" s="310"/>
      <c r="C36" s="311" t="str">
        <f aca="false">IF(B36&gt;0,1,"")</f>
        <v/>
      </c>
      <c r="D36" s="310"/>
      <c r="E36" s="311" t="str">
        <f aca="false">IF(D36&gt;0,1,"")</f>
        <v/>
      </c>
      <c r="F36" s="310" t="n">
        <v>0</v>
      </c>
      <c r="G36" s="311" t="str">
        <f aca="false">IF(F36&gt;0,1,"")</f>
        <v/>
      </c>
      <c r="H36" s="310" t="n">
        <v>0</v>
      </c>
      <c r="I36" s="311" t="str">
        <f aca="false">IF(H36&gt;0,1,"")</f>
        <v/>
      </c>
      <c r="J36" s="326" t="str">
        <f aca="false">IF(SUM(C36,E36,G36,I36)&gt;1,"ERROR",IF(B36&gt;=1,B36*52,IF(D36&gt;=1,D36*26,IF(F36&gt;=1,F36*12,IF(H36&gt;=1,H36*4,"")))))</f>
        <v/>
      </c>
      <c r="K36" s="301"/>
      <c r="L36" s="301"/>
      <c r="M36" s="301"/>
      <c r="N36" s="301"/>
      <c r="O36" s="301"/>
      <c r="P36" s="301"/>
      <c r="Q36" s="301"/>
      <c r="R36" s="301"/>
      <c r="S36" s="301"/>
      <c r="T36" s="301"/>
      <c r="U36" s="301"/>
      <c r="V36" s="301"/>
      <c r="W36" s="301"/>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c r="AZ36" s="301"/>
      <c r="BA36" s="301"/>
      <c r="BB36" s="301"/>
      <c r="BC36" s="301"/>
      <c r="BD36" s="301"/>
      <c r="BE36" s="301"/>
      <c r="BF36" s="301"/>
      <c r="BG36" s="301"/>
      <c r="BH36" s="301"/>
      <c r="BI36" s="301"/>
      <c r="BJ36" s="301"/>
      <c r="BK36" s="301"/>
      <c r="BL36" s="301"/>
      <c r="BM36" s="301"/>
      <c r="BN36" s="301"/>
      <c r="BO36" s="301"/>
      <c r="BP36" s="301"/>
      <c r="BQ36" s="301"/>
      <c r="BR36" s="301"/>
      <c r="BS36" s="301"/>
      <c r="BT36" s="301"/>
      <c r="BU36" s="301"/>
      <c r="BV36" s="301"/>
      <c r="BW36" s="301"/>
      <c r="BX36" s="301"/>
      <c r="BY36" s="301"/>
      <c r="BZ36" s="301"/>
      <c r="CA36" s="301"/>
      <c r="CB36" s="301"/>
      <c r="CC36" s="301"/>
      <c r="CD36" s="301"/>
      <c r="CE36" s="301"/>
      <c r="CF36" s="301"/>
      <c r="CG36" s="301"/>
      <c r="CH36" s="301"/>
      <c r="CI36" s="301"/>
      <c r="CJ36" s="301"/>
      <c r="CK36" s="301"/>
      <c r="CL36" s="301"/>
      <c r="CM36" s="301"/>
      <c r="CN36" s="301"/>
      <c r="CO36" s="301"/>
      <c r="CP36" s="301"/>
      <c r="CQ36" s="301"/>
      <c r="CR36" s="301"/>
      <c r="CS36" s="301"/>
      <c r="CT36" s="301"/>
      <c r="CU36" s="301"/>
      <c r="CV36" s="301"/>
      <c r="CW36" s="301"/>
      <c r="CX36" s="301"/>
      <c r="CY36" s="301"/>
      <c r="CZ36" s="301"/>
      <c r="DA36" s="301"/>
      <c r="DB36" s="301"/>
      <c r="DC36" s="301"/>
      <c r="DD36" s="301"/>
      <c r="DE36" s="301"/>
      <c r="DF36" s="301"/>
      <c r="DG36" s="301"/>
      <c r="DH36" s="301"/>
      <c r="DI36" s="301"/>
      <c r="DJ36" s="301"/>
      <c r="DK36" s="301"/>
      <c r="DL36" s="301"/>
      <c r="DM36" s="301"/>
      <c r="DN36" s="301"/>
      <c r="DO36" s="301"/>
      <c r="DP36" s="301"/>
      <c r="DQ36" s="301"/>
      <c r="DR36" s="301"/>
      <c r="DS36" s="301"/>
      <c r="DT36" s="301"/>
      <c r="DU36" s="301"/>
      <c r="DV36" s="301"/>
      <c r="DW36" s="301"/>
      <c r="DX36" s="301"/>
      <c r="DY36" s="301"/>
      <c r="DZ36" s="301"/>
      <c r="EA36" s="301"/>
      <c r="EB36" s="301"/>
      <c r="EC36" s="301"/>
      <c r="ED36" s="301"/>
      <c r="EE36" s="301"/>
      <c r="EF36" s="301"/>
      <c r="EG36" s="301"/>
      <c r="EH36" s="301"/>
      <c r="EI36" s="301"/>
      <c r="EJ36" s="301"/>
      <c r="EK36" s="301"/>
      <c r="EL36" s="301"/>
      <c r="EM36" s="301"/>
      <c r="EN36" s="301"/>
      <c r="EO36" s="301"/>
      <c r="EP36" s="301"/>
      <c r="EQ36" s="301"/>
      <c r="ER36" s="301"/>
      <c r="ES36" s="301"/>
      <c r="ET36" s="301"/>
      <c r="EU36" s="301"/>
      <c r="EV36" s="301"/>
      <c r="EW36" s="301"/>
      <c r="EX36" s="301"/>
      <c r="EY36" s="301"/>
      <c r="EZ36" s="301"/>
      <c r="FA36" s="301"/>
      <c r="FB36" s="301"/>
      <c r="FC36" s="301"/>
      <c r="FD36" s="301"/>
      <c r="FE36" s="301"/>
      <c r="FF36" s="301"/>
      <c r="FG36" s="301"/>
      <c r="FH36" s="301"/>
      <c r="FI36" s="301"/>
      <c r="FJ36" s="301"/>
      <c r="FK36" s="301"/>
      <c r="FL36" s="301"/>
      <c r="FM36" s="301"/>
      <c r="FN36" s="301"/>
      <c r="FO36" s="301"/>
      <c r="FP36" s="301"/>
      <c r="FQ36" s="301"/>
      <c r="FR36" s="301"/>
      <c r="FS36" s="301"/>
      <c r="FT36" s="301"/>
      <c r="FU36" s="301"/>
      <c r="FV36" s="301"/>
      <c r="FW36" s="301"/>
      <c r="FX36" s="301"/>
      <c r="FY36" s="301"/>
      <c r="FZ36" s="301"/>
      <c r="GA36" s="301"/>
      <c r="GB36" s="301"/>
      <c r="GC36" s="301"/>
      <c r="GD36" s="301"/>
      <c r="GE36" s="301"/>
      <c r="GF36" s="301"/>
      <c r="GG36" s="301"/>
      <c r="GH36" s="301"/>
      <c r="GI36" s="301"/>
      <c r="GJ36" s="301"/>
      <c r="GK36" s="301"/>
      <c r="GL36" s="301"/>
      <c r="GM36" s="301"/>
      <c r="GN36" s="301"/>
      <c r="GO36" s="301"/>
      <c r="GP36" s="301"/>
      <c r="GQ36" s="301"/>
      <c r="GR36" s="301"/>
      <c r="GS36" s="301"/>
      <c r="GT36" s="301"/>
      <c r="GU36" s="301"/>
      <c r="GV36" s="301"/>
      <c r="GW36" s="301"/>
      <c r="GX36" s="301"/>
      <c r="GY36" s="301"/>
      <c r="GZ36" s="301"/>
      <c r="HA36" s="301"/>
      <c r="HB36" s="301"/>
      <c r="HC36" s="301"/>
      <c r="HD36" s="301"/>
      <c r="HE36" s="301"/>
      <c r="HF36" s="301"/>
      <c r="HG36" s="301"/>
      <c r="HH36" s="301"/>
      <c r="HI36" s="301"/>
      <c r="HJ36" s="301"/>
      <c r="HK36" s="301"/>
      <c r="HL36" s="301"/>
      <c r="HM36" s="301"/>
      <c r="HN36" s="301"/>
      <c r="HO36" s="301"/>
      <c r="HP36" s="301"/>
      <c r="HQ36" s="301"/>
      <c r="HR36" s="301"/>
      <c r="HS36" s="301"/>
      <c r="HT36" s="301"/>
      <c r="HU36" s="301"/>
      <c r="HV36" s="301"/>
      <c r="HW36" s="301"/>
      <c r="HX36" s="301"/>
      <c r="HY36" s="301"/>
      <c r="HZ36" s="301"/>
      <c r="IA36" s="301"/>
      <c r="IB36" s="301"/>
      <c r="IC36" s="301"/>
      <c r="ID36" s="301"/>
      <c r="IE36" s="301"/>
      <c r="IF36" s="301"/>
      <c r="IG36" s="301"/>
      <c r="IH36" s="301"/>
      <c r="II36" s="301"/>
      <c r="IJ36" s="301"/>
      <c r="IK36" s="301"/>
      <c r="IL36" s="301"/>
      <c r="IM36" s="301"/>
      <c r="IN36" s="301"/>
      <c r="IO36" s="301"/>
      <c r="IP36" s="301"/>
      <c r="IQ36" s="301"/>
      <c r="IR36" s="301"/>
      <c r="IS36" s="301"/>
      <c r="IT36" s="301"/>
      <c r="IU36" s="301"/>
      <c r="IV36" s="301"/>
      <c r="IW36" s="301"/>
      <c r="IX36" s="301"/>
      <c r="IY36" s="301"/>
      <c r="IZ36" s="301"/>
      <c r="JA36" s="301"/>
      <c r="JB36" s="301"/>
      <c r="JC36" s="301"/>
      <c r="JD36" s="301"/>
      <c r="JE36" s="301"/>
      <c r="JF36" s="301"/>
      <c r="JG36" s="301"/>
      <c r="JH36" s="301"/>
      <c r="JI36" s="301"/>
      <c r="JJ36" s="301"/>
      <c r="JK36" s="301"/>
      <c r="JL36" s="301"/>
      <c r="JM36" s="301"/>
      <c r="JN36" s="301"/>
      <c r="JO36" s="301"/>
      <c r="JP36" s="301"/>
      <c r="JQ36" s="301"/>
      <c r="JR36" s="301"/>
      <c r="JS36" s="301"/>
      <c r="JT36" s="301"/>
      <c r="JU36" s="301"/>
      <c r="JV36" s="301"/>
      <c r="JW36" s="301"/>
      <c r="JX36" s="301"/>
      <c r="JY36" s="301"/>
      <c r="JZ36" s="301"/>
      <c r="KA36" s="301"/>
      <c r="KB36" s="301"/>
      <c r="KC36" s="301"/>
      <c r="KD36" s="301"/>
      <c r="KE36" s="301"/>
      <c r="KF36" s="301"/>
      <c r="KG36" s="301"/>
      <c r="KH36" s="301"/>
      <c r="KI36" s="301"/>
      <c r="KJ36" s="301"/>
      <c r="KK36" s="301"/>
      <c r="KL36" s="301"/>
      <c r="KM36" s="301"/>
      <c r="KN36" s="301"/>
      <c r="KO36" s="301"/>
      <c r="KP36" s="301"/>
      <c r="KQ36" s="301"/>
      <c r="KR36" s="301"/>
      <c r="KS36" s="301"/>
      <c r="KT36" s="301"/>
      <c r="KU36" s="301"/>
      <c r="KV36" s="301"/>
      <c r="KW36" s="301"/>
      <c r="KX36" s="301"/>
      <c r="KY36" s="301"/>
      <c r="KZ36" s="301"/>
      <c r="LA36" s="301"/>
      <c r="LB36" s="301"/>
      <c r="LC36" s="301"/>
      <c r="LD36" s="301"/>
      <c r="LE36" s="301"/>
      <c r="LF36" s="301"/>
      <c r="LG36" s="301"/>
      <c r="LH36" s="301"/>
      <c r="LI36" s="301"/>
      <c r="LJ36" s="301"/>
      <c r="LK36" s="301"/>
      <c r="LL36" s="301"/>
      <c r="LM36" s="301"/>
      <c r="LN36" s="301"/>
      <c r="LO36" s="301"/>
      <c r="LP36" s="301"/>
      <c r="LQ36" s="301"/>
      <c r="LR36" s="301"/>
      <c r="LS36" s="301"/>
      <c r="LT36" s="301"/>
      <c r="LU36" s="301"/>
      <c r="LV36" s="301"/>
      <c r="LW36" s="301"/>
      <c r="LX36" s="301"/>
      <c r="LY36" s="301"/>
      <c r="LZ36" s="301"/>
      <c r="MA36" s="301"/>
      <c r="MB36" s="301"/>
      <c r="MC36" s="301"/>
      <c r="MD36" s="301"/>
      <c r="ME36" s="301"/>
      <c r="MF36" s="301"/>
      <c r="MG36" s="301"/>
      <c r="MH36" s="301"/>
      <c r="MI36" s="301"/>
      <c r="MJ36" s="301"/>
      <c r="MK36" s="301"/>
      <c r="ML36" s="301"/>
      <c r="MM36" s="301"/>
      <c r="MN36" s="301"/>
      <c r="MO36" s="301"/>
      <c r="MP36" s="301"/>
      <c r="MQ36" s="301"/>
      <c r="MR36" s="301"/>
      <c r="MS36" s="301"/>
      <c r="MT36" s="301"/>
      <c r="MU36" s="301"/>
      <c r="MV36" s="301"/>
      <c r="MW36" s="301"/>
      <c r="MX36" s="301"/>
      <c r="MY36" s="301"/>
      <c r="MZ36" s="301"/>
      <c r="NA36" s="301"/>
      <c r="NB36" s="301"/>
      <c r="NC36" s="301"/>
      <c r="ND36" s="301"/>
      <c r="NE36" s="301"/>
      <c r="NF36" s="301"/>
      <c r="NG36" s="301"/>
      <c r="NH36" s="301"/>
      <c r="NI36" s="301"/>
      <c r="NJ36" s="301"/>
      <c r="NK36" s="301"/>
      <c r="NL36" s="301"/>
      <c r="NM36" s="301"/>
      <c r="NN36" s="301"/>
      <c r="NO36" s="301"/>
      <c r="NP36" s="301"/>
      <c r="NQ36" s="301"/>
      <c r="NR36" s="301"/>
      <c r="NS36" s="301"/>
      <c r="NT36" s="301"/>
      <c r="NU36" s="301"/>
      <c r="NV36" s="301"/>
      <c r="NW36" s="301"/>
      <c r="NX36" s="301"/>
      <c r="NY36" s="301"/>
      <c r="NZ36" s="301"/>
      <c r="OA36" s="301"/>
      <c r="OB36" s="301"/>
      <c r="OC36" s="301"/>
      <c r="OD36" s="301"/>
      <c r="OE36" s="301"/>
      <c r="OF36" s="301"/>
      <c r="OG36" s="301"/>
      <c r="OH36" s="301"/>
      <c r="OI36" s="301"/>
      <c r="OJ36" s="301"/>
      <c r="OK36" s="301"/>
      <c r="OL36" s="301"/>
      <c r="OM36" s="301"/>
      <c r="ON36" s="301"/>
      <c r="OO36" s="301"/>
      <c r="OP36" s="301"/>
      <c r="OQ36" s="301"/>
      <c r="OR36" s="301"/>
      <c r="OS36" s="301"/>
      <c r="OT36" s="301"/>
      <c r="OU36" s="301"/>
      <c r="OV36" s="301"/>
      <c r="OW36" s="301"/>
      <c r="OX36" s="301"/>
      <c r="OY36" s="301"/>
      <c r="OZ36" s="301"/>
      <c r="PA36" s="301"/>
      <c r="PB36" s="301"/>
      <c r="PC36" s="301"/>
      <c r="PD36" s="301"/>
      <c r="PE36" s="301"/>
      <c r="PF36" s="301"/>
      <c r="PG36" s="301"/>
      <c r="PH36" s="301"/>
      <c r="PI36" s="301"/>
      <c r="PJ36" s="301"/>
      <c r="PK36" s="301"/>
      <c r="PL36" s="301"/>
      <c r="PM36" s="301"/>
      <c r="PN36" s="301"/>
      <c r="PO36" s="301"/>
      <c r="PP36" s="301"/>
      <c r="PQ36" s="301"/>
      <c r="PR36" s="301"/>
      <c r="PS36" s="301"/>
      <c r="PT36" s="301"/>
      <c r="PU36" s="301"/>
      <c r="PV36" s="301"/>
      <c r="PW36" s="301"/>
      <c r="PX36" s="301"/>
      <c r="PY36" s="301"/>
      <c r="PZ36" s="301"/>
      <c r="QA36" s="301"/>
      <c r="QB36" s="301"/>
      <c r="QC36" s="301"/>
      <c r="QD36" s="301"/>
      <c r="QE36" s="301"/>
      <c r="QF36" s="301"/>
      <c r="QG36" s="301"/>
      <c r="QH36" s="301"/>
      <c r="QI36" s="301"/>
      <c r="QJ36" s="301"/>
      <c r="QK36" s="301"/>
      <c r="QL36" s="301"/>
      <c r="QM36" s="301"/>
      <c r="QN36" s="301"/>
      <c r="QO36" s="301"/>
      <c r="QP36" s="301"/>
      <c r="QQ36" s="301"/>
      <c r="QR36" s="301"/>
      <c r="QS36" s="301"/>
      <c r="QT36" s="301"/>
      <c r="QU36" s="301"/>
      <c r="QV36" s="301"/>
      <c r="QW36" s="301"/>
      <c r="QX36" s="301"/>
      <c r="QY36" s="301"/>
      <c r="QZ36" s="301"/>
      <c r="RA36" s="301"/>
      <c r="RB36" s="301"/>
      <c r="RC36" s="301"/>
      <c r="RD36" s="301"/>
      <c r="RE36" s="301"/>
      <c r="RF36" s="301"/>
      <c r="RG36" s="301"/>
      <c r="RH36" s="301"/>
      <c r="RI36" s="301"/>
      <c r="RJ36" s="301"/>
      <c r="RK36" s="301"/>
      <c r="RL36" s="301"/>
      <c r="RM36" s="301"/>
      <c r="RN36" s="301"/>
      <c r="RO36" s="301"/>
      <c r="RP36" s="301"/>
      <c r="RQ36" s="301"/>
      <c r="RR36" s="301"/>
      <c r="RS36" s="301"/>
      <c r="RT36" s="301"/>
      <c r="RU36" s="301"/>
      <c r="RV36" s="301"/>
      <c r="RW36" s="301"/>
      <c r="RX36" s="301"/>
      <c r="RY36" s="301"/>
      <c r="RZ36" s="301"/>
      <c r="SA36" s="301"/>
      <c r="SB36" s="301"/>
      <c r="SC36" s="301"/>
      <c r="SD36" s="301"/>
      <c r="SE36" s="301"/>
      <c r="SF36" s="301"/>
      <c r="SG36" s="301"/>
      <c r="SH36" s="301"/>
      <c r="SI36" s="301"/>
      <c r="SJ36" s="301"/>
      <c r="SK36" s="301"/>
      <c r="SL36" s="301"/>
      <c r="SM36" s="301"/>
      <c r="SN36" s="301"/>
      <c r="SO36" s="301"/>
      <c r="SP36" s="301"/>
      <c r="SQ36" s="301"/>
      <c r="SR36" s="301"/>
      <c r="SS36" s="301"/>
      <c r="ST36" s="301"/>
      <c r="SU36" s="301"/>
      <c r="SV36" s="301"/>
      <c r="SW36" s="301"/>
      <c r="SX36" s="301"/>
      <c r="SY36" s="301"/>
      <c r="SZ36" s="301"/>
      <c r="TA36" s="301"/>
      <c r="TB36" s="301"/>
      <c r="TC36" s="301"/>
      <c r="TD36" s="301"/>
      <c r="TE36" s="301"/>
      <c r="TF36" s="301"/>
      <c r="TG36" s="301"/>
      <c r="TH36" s="301"/>
      <c r="TI36" s="301"/>
      <c r="TJ36" s="301"/>
      <c r="TK36" s="301"/>
      <c r="TL36" s="301"/>
      <c r="TM36" s="301"/>
      <c r="TN36" s="301"/>
      <c r="TO36" s="301"/>
      <c r="TP36" s="301"/>
      <c r="TQ36" s="301"/>
      <c r="TR36" s="301"/>
      <c r="TS36" s="301"/>
      <c r="TT36" s="301"/>
      <c r="TU36" s="301"/>
      <c r="TV36" s="301"/>
      <c r="TW36" s="301"/>
      <c r="TX36" s="301"/>
      <c r="TY36" s="301"/>
      <c r="TZ36" s="301"/>
      <c r="UA36" s="301"/>
      <c r="UB36" s="301"/>
      <c r="UC36" s="301"/>
      <c r="UD36" s="301"/>
      <c r="UE36" s="301"/>
      <c r="UF36" s="301"/>
      <c r="UG36" s="301"/>
      <c r="UH36" s="301"/>
      <c r="UI36" s="301"/>
      <c r="UJ36" s="301"/>
      <c r="UK36" s="301"/>
      <c r="UL36" s="301"/>
      <c r="UM36" s="301"/>
      <c r="UN36" s="301"/>
      <c r="UO36" s="301"/>
      <c r="UP36" s="301"/>
      <c r="UQ36" s="301"/>
      <c r="UR36" s="301"/>
      <c r="US36" s="301"/>
      <c r="UT36" s="301"/>
      <c r="UU36" s="301"/>
      <c r="UV36" s="301"/>
      <c r="UW36" s="301"/>
      <c r="UX36" s="301"/>
      <c r="UY36" s="301"/>
      <c r="UZ36" s="301"/>
      <c r="VA36" s="301"/>
      <c r="VB36" s="301"/>
      <c r="VC36" s="301"/>
      <c r="VD36" s="301"/>
      <c r="VE36" s="301"/>
      <c r="VF36" s="301"/>
      <c r="VG36" s="301"/>
      <c r="VH36" s="301"/>
      <c r="VI36" s="301"/>
      <c r="VJ36" s="301"/>
      <c r="VK36" s="301"/>
      <c r="VL36" s="301"/>
      <c r="VM36" s="301"/>
      <c r="VN36" s="301"/>
      <c r="VO36" s="301"/>
      <c r="VP36" s="301"/>
      <c r="VQ36" s="301"/>
      <c r="VR36" s="301"/>
      <c r="VS36" s="301"/>
      <c r="VT36" s="301"/>
      <c r="VU36" s="301"/>
      <c r="VV36" s="301"/>
      <c r="VW36" s="301"/>
      <c r="VX36" s="301"/>
      <c r="VY36" s="301"/>
      <c r="VZ36" s="301"/>
      <c r="WA36" s="301"/>
      <c r="WB36" s="301"/>
      <c r="WC36" s="301"/>
      <c r="WD36" s="301"/>
      <c r="WE36" s="301"/>
      <c r="WF36" s="301"/>
      <c r="WG36" s="301"/>
      <c r="WH36" s="301"/>
      <c r="WI36" s="301"/>
      <c r="WJ36" s="301"/>
      <c r="WK36" s="301"/>
      <c r="WL36" s="301"/>
      <c r="WM36" s="301"/>
      <c r="WN36" s="301"/>
      <c r="WO36" s="301"/>
      <c r="WP36" s="301"/>
      <c r="WQ36" s="301"/>
      <c r="WR36" s="301"/>
      <c r="WS36" s="301"/>
      <c r="WT36" s="301"/>
      <c r="WU36" s="301"/>
      <c r="WV36" s="301"/>
      <c r="WW36" s="301"/>
      <c r="WX36" s="301"/>
      <c r="WY36" s="301"/>
      <c r="WZ36" s="301"/>
      <c r="XA36" s="301"/>
      <c r="XB36" s="301"/>
      <c r="XC36" s="301"/>
      <c r="XD36" s="301"/>
      <c r="XE36" s="301"/>
      <c r="XF36" s="301"/>
      <c r="XG36" s="301"/>
      <c r="XH36" s="301"/>
      <c r="XI36" s="301"/>
      <c r="XJ36" s="301"/>
      <c r="XK36" s="301"/>
      <c r="XL36" s="301"/>
      <c r="XM36" s="301"/>
      <c r="XN36" s="301"/>
      <c r="XO36" s="301"/>
      <c r="XP36" s="301"/>
      <c r="XQ36" s="301"/>
      <c r="XR36" s="301"/>
      <c r="XS36" s="301"/>
      <c r="XT36" s="301"/>
      <c r="XU36" s="301"/>
      <c r="XV36" s="301"/>
      <c r="XW36" s="301"/>
      <c r="XX36" s="301"/>
      <c r="XY36" s="301"/>
      <c r="XZ36" s="301"/>
      <c r="YA36" s="301"/>
      <c r="YB36" s="301"/>
      <c r="YC36" s="301"/>
      <c r="YD36" s="301"/>
      <c r="YE36" s="301"/>
      <c r="YF36" s="301"/>
      <c r="YG36" s="301"/>
      <c r="YH36" s="301"/>
      <c r="YI36" s="301"/>
      <c r="YJ36" s="301"/>
      <c r="YK36" s="301"/>
      <c r="YL36" s="301"/>
      <c r="YM36" s="301"/>
      <c r="YN36" s="301"/>
      <c r="YO36" s="301"/>
      <c r="YP36" s="301"/>
      <c r="YQ36" s="301"/>
      <c r="YR36" s="301"/>
      <c r="YS36" s="301"/>
      <c r="YT36" s="301"/>
      <c r="YU36" s="301"/>
      <c r="YV36" s="301"/>
      <c r="YW36" s="301"/>
      <c r="YX36" s="301"/>
      <c r="YY36" s="301"/>
      <c r="YZ36" s="301"/>
      <c r="ZA36" s="301"/>
      <c r="ZB36" s="301"/>
      <c r="ZC36" s="301"/>
      <c r="ZD36" s="301"/>
      <c r="ZE36" s="301"/>
      <c r="ZF36" s="301"/>
      <c r="ZG36" s="301"/>
      <c r="ZH36" s="301"/>
      <c r="ZI36" s="301"/>
      <c r="ZJ36" s="301"/>
      <c r="ZK36" s="301"/>
      <c r="ZL36" s="301"/>
      <c r="ZM36" s="301"/>
      <c r="ZN36" s="301"/>
      <c r="ZO36" s="301"/>
      <c r="ZP36" s="301"/>
      <c r="ZQ36" s="301"/>
      <c r="ZR36" s="301"/>
      <c r="ZS36" s="301"/>
      <c r="ZT36" s="301"/>
      <c r="ZU36" s="301"/>
      <c r="ZV36" s="301"/>
      <c r="ZW36" s="301"/>
      <c r="ZX36" s="301"/>
      <c r="ZY36" s="301"/>
      <c r="ZZ36" s="301"/>
      <c r="AAA36" s="301"/>
      <c r="AAB36" s="301"/>
      <c r="AAC36" s="301"/>
      <c r="AAD36" s="301"/>
      <c r="AAE36" s="301"/>
      <c r="AAF36" s="301"/>
      <c r="AAG36" s="301"/>
      <c r="AAH36" s="301"/>
      <c r="AAI36" s="301"/>
      <c r="AAJ36" s="301"/>
      <c r="AAK36" s="301"/>
      <c r="AAL36" s="301"/>
      <c r="AAM36" s="301"/>
      <c r="AAN36" s="301"/>
      <c r="AAO36" s="301"/>
      <c r="AAP36" s="301"/>
      <c r="AAQ36" s="301"/>
      <c r="AAR36" s="301"/>
      <c r="AAS36" s="301"/>
      <c r="AAT36" s="301"/>
      <c r="AAU36" s="301"/>
      <c r="AAV36" s="301"/>
      <c r="AAW36" s="301"/>
      <c r="AAX36" s="301"/>
      <c r="AAY36" s="301"/>
      <c r="AAZ36" s="301"/>
      <c r="ABA36" s="301"/>
      <c r="ABB36" s="301"/>
      <c r="ABC36" s="301"/>
      <c r="ABD36" s="301"/>
      <c r="ABE36" s="301"/>
      <c r="ABF36" s="301"/>
      <c r="ABG36" s="301"/>
      <c r="ABH36" s="301"/>
      <c r="ABI36" s="301"/>
      <c r="ABJ36" s="301"/>
      <c r="ABK36" s="301"/>
      <c r="ABL36" s="301"/>
      <c r="ABM36" s="301"/>
      <c r="ABN36" s="301"/>
      <c r="ABO36" s="301"/>
      <c r="ABP36" s="301"/>
      <c r="ABQ36" s="301"/>
      <c r="ABR36" s="301"/>
      <c r="ABS36" s="301"/>
      <c r="ABT36" s="301"/>
      <c r="ABU36" s="301"/>
      <c r="ABV36" s="301"/>
      <c r="ABW36" s="301"/>
      <c r="ABX36" s="301"/>
      <c r="ABY36" s="301"/>
      <c r="ABZ36" s="301"/>
      <c r="ACA36" s="301"/>
      <c r="ACB36" s="301"/>
      <c r="ACC36" s="301"/>
      <c r="ACD36" s="301"/>
      <c r="ACE36" s="301"/>
      <c r="ACF36" s="301"/>
      <c r="ACG36" s="301"/>
      <c r="ACH36" s="301"/>
      <c r="ACI36" s="301"/>
      <c r="ACJ36" s="301"/>
      <c r="ACK36" s="301"/>
      <c r="ACL36" s="301"/>
      <c r="ACM36" s="301"/>
      <c r="ACN36" s="301"/>
      <c r="ACO36" s="301"/>
      <c r="ACP36" s="301"/>
      <c r="ACQ36" s="301"/>
      <c r="ACR36" s="301"/>
      <c r="ACS36" s="301"/>
      <c r="ACT36" s="301"/>
      <c r="ACU36" s="301"/>
      <c r="ACV36" s="301"/>
      <c r="ACW36" s="301"/>
      <c r="ACX36" s="301"/>
      <c r="ACY36" s="301"/>
      <c r="ACZ36" s="301"/>
      <c r="ADA36" s="301"/>
      <c r="ADB36" s="301"/>
      <c r="ADC36" s="301"/>
      <c r="ADD36" s="301"/>
      <c r="ADE36" s="301"/>
      <c r="ADF36" s="301"/>
      <c r="ADG36" s="301"/>
      <c r="ADH36" s="301"/>
      <c r="ADI36" s="301"/>
      <c r="ADJ36" s="301"/>
      <c r="ADK36" s="301"/>
      <c r="ADL36" s="301"/>
      <c r="ADM36" s="301"/>
      <c r="ADN36" s="301"/>
      <c r="ADO36" s="301"/>
      <c r="ADP36" s="301"/>
      <c r="ADQ36" s="301"/>
      <c r="ADR36" s="301"/>
      <c r="ADS36" s="301"/>
      <c r="ADT36" s="301"/>
      <c r="ADU36" s="301"/>
      <c r="ADV36" s="301"/>
      <c r="ADW36" s="301"/>
      <c r="ADX36" s="301"/>
      <c r="ADY36" s="301"/>
      <c r="ADZ36" s="301"/>
      <c r="AEA36" s="301"/>
      <c r="AEB36" s="301"/>
      <c r="AEC36" s="301"/>
      <c r="AED36" s="301"/>
      <c r="AEE36" s="301"/>
      <c r="AEF36" s="301"/>
      <c r="AEG36" s="301"/>
      <c r="AEH36" s="301"/>
      <c r="AEI36" s="301"/>
      <c r="AEJ36" s="301"/>
      <c r="AEK36" s="301"/>
      <c r="AEL36" s="301"/>
      <c r="AEM36" s="301"/>
      <c r="AEN36" s="301"/>
      <c r="AEO36" s="301"/>
      <c r="AEP36" s="301"/>
      <c r="AEQ36" s="301"/>
      <c r="AER36" s="301"/>
      <c r="AES36" s="301"/>
      <c r="AET36" s="301"/>
      <c r="AEU36" s="301"/>
      <c r="AEV36" s="301"/>
      <c r="AEW36" s="301"/>
      <c r="AEX36" s="301"/>
      <c r="AEY36" s="301"/>
      <c r="AEZ36" s="301"/>
      <c r="AFA36" s="301"/>
      <c r="AFB36" s="301"/>
      <c r="AFC36" s="301"/>
      <c r="AFD36" s="301"/>
      <c r="AFE36" s="301"/>
      <c r="AFF36" s="301"/>
      <c r="AFG36" s="301"/>
      <c r="AFH36" s="301"/>
      <c r="AFI36" s="301"/>
      <c r="AFJ36" s="301"/>
      <c r="AFK36" s="301"/>
      <c r="AFL36" s="301"/>
      <c r="AFM36" s="301"/>
      <c r="AFN36" s="301"/>
      <c r="AFO36" s="301"/>
      <c r="AFP36" s="301"/>
      <c r="AFQ36" s="301"/>
      <c r="AFR36" s="301"/>
      <c r="AFS36" s="301"/>
      <c r="AFT36" s="301"/>
      <c r="AFU36" s="301"/>
      <c r="AFV36" s="301"/>
      <c r="AFW36" s="301"/>
      <c r="AFX36" s="301"/>
      <c r="AFY36" s="301"/>
      <c r="AFZ36" s="301"/>
      <c r="AGA36" s="301"/>
      <c r="AGB36" s="301"/>
      <c r="AGC36" s="301"/>
      <c r="AGD36" s="301"/>
      <c r="AGE36" s="301"/>
      <c r="AGF36" s="301"/>
      <c r="AGG36" s="301"/>
      <c r="AGH36" s="301"/>
      <c r="AGI36" s="301"/>
      <c r="AGJ36" s="301"/>
      <c r="AGK36" s="301"/>
      <c r="AGL36" s="301"/>
      <c r="AGM36" s="301"/>
      <c r="AGN36" s="301"/>
      <c r="AGO36" s="301"/>
      <c r="AGP36" s="301"/>
      <c r="AGQ36" s="301"/>
      <c r="AGR36" s="301"/>
      <c r="AGS36" s="301"/>
      <c r="AGT36" s="301"/>
      <c r="AGU36" s="301"/>
      <c r="AGV36" s="301"/>
      <c r="AGW36" s="301"/>
      <c r="AGX36" s="301"/>
      <c r="AGY36" s="301"/>
      <c r="AGZ36" s="301"/>
      <c r="AHA36" s="301"/>
      <c r="AHB36" s="301"/>
      <c r="AHC36" s="301"/>
      <c r="AHD36" s="301"/>
      <c r="AHE36" s="301"/>
      <c r="AHF36" s="301"/>
      <c r="AHG36" s="301"/>
      <c r="AHH36" s="301"/>
      <c r="AHI36" s="301"/>
      <c r="AHJ36" s="301"/>
      <c r="AHK36" s="301"/>
      <c r="AHL36" s="301"/>
      <c r="AHM36" s="301"/>
      <c r="AHN36" s="301"/>
      <c r="AHO36" s="301"/>
      <c r="AHP36" s="301"/>
      <c r="AHQ36" s="301"/>
      <c r="AHR36" s="301"/>
      <c r="AHS36" s="301"/>
      <c r="AHT36" s="301"/>
      <c r="AHU36" s="301"/>
      <c r="AHV36" s="301"/>
      <c r="AHW36" s="301"/>
      <c r="AHX36" s="301"/>
      <c r="AHY36" s="301"/>
      <c r="AHZ36" s="301"/>
      <c r="AIA36" s="301"/>
      <c r="AIB36" s="301"/>
      <c r="AIC36" s="301"/>
      <c r="AID36" s="301"/>
      <c r="AIE36" s="301"/>
      <c r="AIF36" s="301"/>
      <c r="AIG36" s="301"/>
      <c r="AIH36" s="301"/>
      <c r="AII36" s="301"/>
      <c r="AIJ36" s="301"/>
      <c r="AIK36" s="301"/>
      <c r="AIL36" s="301"/>
      <c r="AIM36" s="301"/>
      <c r="AIN36" s="301"/>
      <c r="AIO36" s="301"/>
      <c r="AIP36" s="301"/>
      <c r="AIQ36" s="301"/>
      <c r="AIR36" s="301"/>
      <c r="AIS36" s="301"/>
      <c r="AIT36" s="301"/>
      <c r="AIU36" s="301"/>
      <c r="AIV36" s="301"/>
      <c r="AIW36" s="301"/>
      <c r="AIX36" s="301"/>
      <c r="AIY36" s="301"/>
      <c r="AIZ36" s="301"/>
      <c r="AJA36" s="301"/>
      <c r="AJB36" s="301"/>
      <c r="AJC36" s="301"/>
      <c r="AJD36" s="301"/>
      <c r="AJE36" s="301"/>
      <c r="AJF36" s="301"/>
      <c r="AJG36" s="301"/>
      <c r="AJH36" s="301"/>
      <c r="AJI36" s="301"/>
      <c r="AJJ36" s="301"/>
      <c r="AJK36" s="301"/>
      <c r="AJL36" s="301"/>
      <c r="AJM36" s="301"/>
      <c r="AJN36" s="301"/>
      <c r="AJO36" s="301"/>
      <c r="AJP36" s="301"/>
      <c r="AJQ36" s="301"/>
      <c r="AJR36" s="301"/>
      <c r="AJS36" s="301"/>
      <c r="AJT36" s="301"/>
      <c r="AJU36" s="301"/>
      <c r="AJV36" s="301"/>
      <c r="AJW36" s="301"/>
      <c r="AJX36" s="301"/>
      <c r="AJY36" s="301"/>
      <c r="AJZ36" s="301"/>
      <c r="AKA36" s="301"/>
      <c r="AKB36" s="301"/>
      <c r="AKC36" s="301"/>
      <c r="AKD36" s="301"/>
      <c r="AKE36" s="301"/>
      <c r="AKF36" s="301"/>
      <c r="AKG36" s="301"/>
      <c r="AKH36" s="301"/>
      <c r="AKI36" s="301"/>
      <c r="AKJ36" s="301"/>
      <c r="AKK36" s="301"/>
      <c r="AKL36" s="301"/>
      <c r="AKM36" s="301"/>
      <c r="AKN36" s="301"/>
      <c r="AKO36" s="301"/>
      <c r="AKP36" s="301"/>
      <c r="AKQ36" s="301"/>
      <c r="AKR36" s="301"/>
      <c r="AKS36" s="301"/>
      <c r="AKT36" s="301"/>
      <c r="AKU36" s="301"/>
      <c r="AKV36" s="301"/>
      <c r="AKW36" s="301"/>
      <c r="AKX36" s="301"/>
      <c r="AKY36" s="301"/>
      <c r="AKZ36" s="301"/>
      <c r="ALA36" s="301"/>
      <c r="ALB36" s="301"/>
      <c r="ALC36" s="301"/>
      <c r="ALD36" s="301"/>
      <c r="ALE36" s="301"/>
      <c r="ALF36" s="301"/>
      <c r="ALG36" s="301"/>
      <c r="ALH36" s="301"/>
      <c r="ALI36" s="301"/>
      <c r="ALJ36" s="301"/>
      <c r="ALK36" s="301"/>
      <c r="ALL36" s="301"/>
      <c r="ALM36" s="301"/>
      <c r="ALN36" s="301"/>
      <c r="ALO36" s="301"/>
      <c r="ALP36" s="301"/>
      <c r="ALQ36" s="301"/>
      <c r="ALR36" s="301"/>
      <c r="ALS36" s="301"/>
      <c r="ALT36" s="301"/>
      <c r="ALU36" s="301"/>
      <c r="ALV36" s="301"/>
      <c r="ALW36" s="301"/>
      <c r="ALX36" s="301"/>
      <c r="ALY36" s="301"/>
      <c r="ALZ36" s="301"/>
      <c r="AMA36" s="301"/>
      <c r="AMB36" s="301"/>
      <c r="AMC36" s="301"/>
      <c r="AMD36" s="301"/>
      <c r="AME36" s="301"/>
      <c r="AMF36" s="301"/>
      <c r="AMG36" s="301"/>
      <c r="AMH36" s="301"/>
      <c r="AMI36" s="301"/>
      <c r="AMJ36" s="301"/>
    </row>
    <row r="37" customFormat="false" ht="12.8" hidden="false" customHeight="false" outlineLevel="0" collapsed="false">
      <c r="A37" s="299" t="s">
        <v>216</v>
      </c>
      <c r="B37" s="310"/>
      <c r="C37" s="311" t="str">
        <f aca="false">IF(B37&gt;0,1,"")</f>
        <v/>
      </c>
      <c r="D37" s="310"/>
      <c r="E37" s="311" t="str">
        <f aca="false">IF(D37&gt;0,1,"")</f>
        <v/>
      </c>
      <c r="F37" s="310" t="n">
        <v>0</v>
      </c>
      <c r="G37" s="311" t="str">
        <f aca="false">IF(F37&gt;0,1,"")</f>
        <v/>
      </c>
      <c r="H37" s="310"/>
      <c r="I37" s="311" t="str">
        <f aca="false">IF(H37&gt;0,1,"")</f>
        <v/>
      </c>
      <c r="J37" s="326" t="str">
        <f aca="false">IF(SUM(C37,E37,G37,I37)&gt;1,"ERROR",IF(B37&gt;=1,B37*52,IF(D37&gt;=1,D37*26,IF(F37&gt;=1,F37*12,IF(H37&gt;=1,H37*4,"")))))</f>
        <v/>
      </c>
      <c r="K37" s="301"/>
      <c r="L37" s="301"/>
      <c r="M37" s="301"/>
      <c r="N37" s="301"/>
      <c r="O37" s="301"/>
      <c r="P37" s="301"/>
      <c r="Q37" s="301"/>
      <c r="R37" s="301"/>
      <c r="S37" s="301"/>
      <c r="T37" s="301"/>
      <c r="U37" s="301"/>
      <c r="V37" s="301"/>
      <c r="W37" s="301"/>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301"/>
      <c r="BC37" s="301"/>
      <c r="BD37" s="301"/>
      <c r="BE37" s="301"/>
      <c r="BF37" s="301"/>
      <c r="BG37" s="301"/>
      <c r="BH37" s="301"/>
      <c r="BI37" s="301"/>
      <c r="BJ37" s="301"/>
      <c r="BK37" s="301"/>
      <c r="BL37" s="301"/>
      <c r="BM37" s="301"/>
      <c r="BN37" s="301"/>
      <c r="BO37" s="301"/>
      <c r="BP37" s="301"/>
      <c r="BQ37" s="301"/>
      <c r="BR37" s="301"/>
      <c r="BS37" s="301"/>
      <c r="BT37" s="301"/>
      <c r="BU37" s="301"/>
      <c r="BV37" s="301"/>
      <c r="BW37" s="301"/>
      <c r="BX37" s="301"/>
      <c r="BY37" s="301"/>
      <c r="BZ37" s="301"/>
      <c r="CA37" s="301"/>
      <c r="CB37" s="301"/>
      <c r="CC37" s="301"/>
      <c r="CD37" s="301"/>
      <c r="CE37" s="301"/>
      <c r="CF37" s="301"/>
      <c r="CG37" s="301"/>
      <c r="CH37" s="301"/>
      <c r="CI37" s="301"/>
      <c r="CJ37" s="301"/>
      <c r="CK37" s="301"/>
      <c r="CL37" s="301"/>
      <c r="CM37" s="301"/>
      <c r="CN37" s="301"/>
      <c r="CO37" s="301"/>
      <c r="CP37" s="301"/>
      <c r="CQ37" s="301"/>
      <c r="CR37" s="301"/>
      <c r="CS37" s="301"/>
      <c r="CT37" s="301"/>
      <c r="CU37" s="301"/>
      <c r="CV37" s="301"/>
      <c r="CW37" s="301"/>
      <c r="CX37" s="301"/>
      <c r="CY37" s="301"/>
      <c r="CZ37" s="301"/>
      <c r="DA37" s="301"/>
      <c r="DB37" s="301"/>
      <c r="DC37" s="301"/>
      <c r="DD37" s="301"/>
      <c r="DE37" s="301"/>
      <c r="DF37" s="301"/>
      <c r="DG37" s="301"/>
      <c r="DH37" s="301"/>
      <c r="DI37" s="301"/>
      <c r="DJ37" s="301"/>
      <c r="DK37" s="301"/>
      <c r="DL37" s="301"/>
      <c r="DM37" s="301"/>
      <c r="DN37" s="301"/>
      <c r="DO37" s="301"/>
      <c r="DP37" s="301"/>
      <c r="DQ37" s="301"/>
      <c r="DR37" s="301"/>
      <c r="DS37" s="301"/>
      <c r="DT37" s="301"/>
      <c r="DU37" s="301"/>
      <c r="DV37" s="301"/>
      <c r="DW37" s="301"/>
      <c r="DX37" s="301"/>
      <c r="DY37" s="301"/>
      <c r="DZ37" s="301"/>
      <c r="EA37" s="301"/>
      <c r="EB37" s="301"/>
      <c r="EC37" s="301"/>
      <c r="ED37" s="301"/>
      <c r="EE37" s="301"/>
      <c r="EF37" s="301"/>
      <c r="EG37" s="301"/>
      <c r="EH37" s="301"/>
      <c r="EI37" s="301"/>
      <c r="EJ37" s="301"/>
      <c r="EK37" s="301"/>
      <c r="EL37" s="301"/>
      <c r="EM37" s="301"/>
      <c r="EN37" s="301"/>
      <c r="EO37" s="301"/>
      <c r="EP37" s="301"/>
      <c r="EQ37" s="301"/>
      <c r="ER37" s="301"/>
      <c r="ES37" s="301"/>
      <c r="ET37" s="301"/>
      <c r="EU37" s="301"/>
      <c r="EV37" s="301"/>
      <c r="EW37" s="301"/>
      <c r="EX37" s="301"/>
      <c r="EY37" s="301"/>
      <c r="EZ37" s="301"/>
      <c r="FA37" s="301"/>
      <c r="FB37" s="301"/>
      <c r="FC37" s="301"/>
      <c r="FD37" s="301"/>
      <c r="FE37" s="301"/>
      <c r="FF37" s="301"/>
      <c r="FG37" s="301"/>
      <c r="FH37" s="301"/>
      <c r="FI37" s="301"/>
      <c r="FJ37" s="301"/>
      <c r="FK37" s="301"/>
      <c r="FL37" s="301"/>
      <c r="FM37" s="301"/>
      <c r="FN37" s="301"/>
      <c r="FO37" s="301"/>
      <c r="FP37" s="301"/>
      <c r="FQ37" s="301"/>
      <c r="FR37" s="301"/>
      <c r="FS37" s="301"/>
      <c r="FT37" s="301"/>
      <c r="FU37" s="301"/>
      <c r="FV37" s="301"/>
      <c r="FW37" s="301"/>
      <c r="FX37" s="301"/>
      <c r="FY37" s="301"/>
      <c r="FZ37" s="301"/>
      <c r="GA37" s="301"/>
      <c r="GB37" s="301"/>
      <c r="GC37" s="301"/>
      <c r="GD37" s="301"/>
      <c r="GE37" s="301"/>
      <c r="GF37" s="301"/>
      <c r="GG37" s="301"/>
      <c r="GH37" s="301"/>
      <c r="GI37" s="301"/>
      <c r="GJ37" s="301"/>
      <c r="GK37" s="301"/>
      <c r="GL37" s="301"/>
      <c r="GM37" s="301"/>
      <c r="GN37" s="301"/>
      <c r="GO37" s="301"/>
      <c r="GP37" s="301"/>
      <c r="GQ37" s="301"/>
      <c r="GR37" s="301"/>
      <c r="GS37" s="301"/>
      <c r="GT37" s="301"/>
      <c r="GU37" s="301"/>
      <c r="GV37" s="301"/>
      <c r="GW37" s="301"/>
      <c r="GX37" s="301"/>
      <c r="GY37" s="301"/>
      <c r="GZ37" s="301"/>
      <c r="HA37" s="301"/>
      <c r="HB37" s="301"/>
      <c r="HC37" s="301"/>
      <c r="HD37" s="301"/>
      <c r="HE37" s="301"/>
      <c r="HF37" s="301"/>
      <c r="HG37" s="301"/>
      <c r="HH37" s="301"/>
      <c r="HI37" s="301"/>
      <c r="HJ37" s="301"/>
      <c r="HK37" s="301"/>
      <c r="HL37" s="301"/>
      <c r="HM37" s="301"/>
      <c r="HN37" s="301"/>
      <c r="HO37" s="301"/>
      <c r="HP37" s="301"/>
      <c r="HQ37" s="301"/>
      <c r="HR37" s="301"/>
      <c r="HS37" s="301"/>
      <c r="HT37" s="301"/>
      <c r="HU37" s="301"/>
      <c r="HV37" s="301"/>
      <c r="HW37" s="301"/>
      <c r="HX37" s="301"/>
      <c r="HY37" s="301"/>
      <c r="HZ37" s="301"/>
      <c r="IA37" s="301"/>
      <c r="IB37" s="301"/>
      <c r="IC37" s="301"/>
      <c r="ID37" s="301"/>
      <c r="IE37" s="301"/>
      <c r="IF37" s="301"/>
      <c r="IG37" s="301"/>
      <c r="IH37" s="301"/>
      <c r="II37" s="301"/>
      <c r="IJ37" s="301"/>
      <c r="IK37" s="301"/>
      <c r="IL37" s="301"/>
      <c r="IM37" s="301"/>
      <c r="IN37" s="301"/>
      <c r="IO37" s="301"/>
      <c r="IP37" s="301"/>
      <c r="IQ37" s="301"/>
      <c r="IR37" s="301"/>
      <c r="IS37" s="301"/>
      <c r="IT37" s="301"/>
      <c r="IU37" s="301"/>
      <c r="IV37" s="301"/>
      <c r="IW37" s="301"/>
      <c r="IX37" s="301"/>
      <c r="IY37" s="301"/>
      <c r="IZ37" s="301"/>
      <c r="JA37" s="301"/>
      <c r="JB37" s="301"/>
      <c r="JC37" s="301"/>
      <c r="JD37" s="301"/>
      <c r="JE37" s="301"/>
      <c r="JF37" s="301"/>
      <c r="JG37" s="301"/>
      <c r="JH37" s="301"/>
      <c r="JI37" s="301"/>
      <c r="JJ37" s="301"/>
      <c r="JK37" s="301"/>
      <c r="JL37" s="301"/>
      <c r="JM37" s="301"/>
      <c r="JN37" s="301"/>
      <c r="JO37" s="301"/>
      <c r="JP37" s="301"/>
      <c r="JQ37" s="301"/>
      <c r="JR37" s="301"/>
      <c r="JS37" s="301"/>
      <c r="JT37" s="301"/>
      <c r="JU37" s="301"/>
      <c r="JV37" s="301"/>
      <c r="JW37" s="301"/>
      <c r="JX37" s="301"/>
      <c r="JY37" s="301"/>
      <c r="JZ37" s="301"/>
      <c r="KA37" s="301"/>
      <c r="KB37" s="301"/>
      <c r="KC37" s="301"/>
      <c r="KD37" s="301"/>
      <c r="KE37" s="301"/>
      <c r="KF37" s="301"/>
      <c r="KG37" s="301"/>
      <c r="KH37" s="301"/>
      <c r="KI37" s="301"/>
      <c r="KJ37" s="301"/>
      <c r="KK37" s="301"/>
      <c r="KL37" s="301"/>
      <c r="KM37" s="301"/>
      <c r="KN37" s="301"/>
      <c r="KO37" s="301"/>
      <c r="KP37" s="301"/>
      <c r="KQ37" s="301"/>
      <c r="KR37" s="301"/>
      <c r="KS37" s="301"/>
      <c r="KT37" s="301"/>
      <c r="KU37" s="301"/>
      <c r="KV37" s="301"/>
      <c r="KW37" s="301"/>
      <c r="KX37" s="301"/>
      <c r="KY37" s="301"/>
      <c r="KZ37" s="301"/>
      <c r="LA37" s="301"/>
      <c r="LB37" s="301"/>
      <c r="LC37" s="301"/>
      <c r="LD37" s="301"/>
      <c r="LE37" s="301"/>
      <c r="LF37" s="301"/>
      <c r="LG37" s="301"/>
      <c r="LH37" s="301"/>
      <c r="LI37" s="301"/>
      <c r="LJ37" s="301"/>
      <c r="LK37" s="301"/>
      <c r="LL37" s="301"/>
      <c r="LM37" s="301"/>
      <c r="LN37" s="301"/>
      <c r="LO37" s="301"/>
      <c r="LP37" s="301"/>
      <c r="LQ37" s="301"/>
      <c r="LR37" s="301"/>
      <c r="LS37" s="301"/>
      <c r="LT37" s="301"/>
      <c r="LU37" s="301"/>
      <c r="LV37" s="301"/>
      <c r="LW37" s="301"/>
      <c r="LX37" s="301"/>
      <c r="LY37" s="301"/>
      <c r="LZ37" s="301"/>
      <c r="MA37" s="301"/>
      <c r="MB37" s="301"/>
      <c r="MC37" s="301"/>
      <c r="MD37" s="301"/>
      <c r="ME37" s="301"/>
      <c r="MF37" s="301"/>
      <c r="MG37" s="301"/>
      <c r="MH37" s="301"/>
      <c r="MI37" s="301"/>
      <c r="MJ37" s="301"/>
      <c r="MK37" s="301"/>
      <c r="ML37" s="301"/>
      <c r="MM37" s="301"/>
      <c r="MN37" s="301"/>
      <c r="MO37" s="301"/>
      <c r="MP37" s="301"/>
      <c r="MQ37" s="301"/>
      <c r="MR37" s="301"/>
      <c r="MS37" s="301"/>
      <c r="MT37" s="301"/>
      <c r="MU37" s="301"/>
      <c r="MV37" s="301"/>
      <c r="MW37" s="301"/>
      <c r="MX37" s="301"/>
      <c r="MY37" s="301"/>
      <c r="MZ37" s="301"/>
      <c r="NA37" s="301"/>
      <c r="NB37" s="301"/>
      <c r="NC37" s="301"/>
      <c r="ND37" s="301"/>
      <c r="NE37" s="301"/>
      <c r="NF37" s="301"/>
      <c r="NG37" s="301"/>
      <c r="NH37" s="301"/>
      <c r="NI37" s="301"/>
      <c r="NJ37" s="301"/>
      <c r="NK37" s="301"/>
      <c r="NL37" s="301"/>
      <c r="NM37" s="301"/>
      <c r="NN37" s="301"/>
      <c r="NO37" s="301"/>
      <c r="NP37" s="301"/>
      <c r="NQ37" s="301"/>
      <c r="NR37" s="301"/>
      <c r="NS37" s="301"/>
      <c r="NT37" s="301"/>
      <c r="NU37" s="301"/>
      <c r="NV37" s="301"/>
      <c r="NW37" s="301"/>
      <c r="NX37" s="301"/>
      <c r="NY37" s="301"/>
      <c r="NZ37" s="301"/>
      <c r="OA37" s="301"/>
      <c r="OB37" s="301"/>
      <c r="OC37" s="301"/>
      <c r="OD37" s="301"/>
      <c r="OE37" s="301"/>
      <c r="OF37" s="301"/>
      <c r="OG37" s="301"/>
      <c r="OH37" s="301"/>
      <c r="OI37" s="301"/>
      <c r="OJ37" s="301"/>
      <c r="OK37" s="301"/>
      <c r="OL37" s="301"/>
      <c r="OM37" s="301"/>
      <c r="ON37" s="301"/>
      <c r="OO37" s="301"/>
      <c r="OP37" s="301"/>
      <c r="OQ37" s="301"/>
      <c r="OR37" s="301"/>
      <c r="OS37" s="301"/>
      <c r="OT37" s="301"/>
      <c r="OU37" s="301"/>
      <c r="OV37" s="301"/>
      <c r="OW37" s="301"/>
      <c r="OX37" s="301"/>
      <c r="OY37" s="301"/>
      <c r="OZ37" s="301"/>
      <c r="PA37" s="301"/>
      <c r="PB37" s="301"/>
      <c r="PC37" s="301"/>
      <c r="PD37" s="301"/>
      <c r="PE37" s="301"/>
      <c r="PF37" s="301"/>
      <c r="PG37" s="301"/>
      <c r="PH37" s="301"/>
      <c r="PI37" s="301"/>
      <c r="PJ37" s="301"/>
      <c r="PK37" s="301"/>
      <c r="PL37" s="301"/>
      <c r="PM37" s="301"/>
      <c r="PN37" s="301"/>
      <c r="PO37" s="301"/>
      <c r="PP37" s="301"/>
      <c r="PQ37" s="301"/>
      <c r="PR37" s="301"/>
      <c r="PS37" s="301"/>
      <c r="PT37" s="301"/>
      <c r="PU37" s="301"/>
      <c r="PV37" s="301"/>
      <c r="PW37" s="301"/>
      <c r="PX37" s="301"/>
      <c r="PY37" s="301"/>
      <c r="PZ37" s="301"/>
      <c r="QA37" s="301"/>
      <c r="QB37" s="301"/>
      <c r="QC37" s="301"/>
      <c r="QD37" s="301"/>
      <c r="QE37" s="301"/>
      <c r="QF37" s="301"/>
      <c r="QG37" s="301"/>
      <c r="QH37" s="301"/>
      <c r="QI37" s="301"/>
      <c r="QJ37" s="301"/>
      <c r="QK37" s="301"/>
      <c r="QL37" s="301"/>
      <c r="QM37" s="301"/>
      <c r="QN37" s="301"/>
      <c r="QO37" s="301"/>
      <c r="QP37" s="301"/>
      <c r="QQ37" s="301"/>
      <c r="QR37" s="301"/>
      <c r="QS37" s="301"/>
      <c r="QT37" s="301"/>
      <c r="QU37" s="301"/>
      <c r="QV37" s="301"/>
      <c r="QW37" s="301"/>
      <c r="QX37" s="301"/>
      <c r="QY37" s="301"/>
      <c r="QZ37" s="301"/>
      <c r="RA37" s="301"/>
      <c r="RB37" s="301"/>
      <c r="RC37" s="301"/>
      <c r="RD37" s="301"/>
      <c r="RE37" s="301"/>
      <c r="RF37" s="301"/>
      <c r="RG37" s="301"/>
      <c r="RH37" s="301"/>
      <c r="RI37" s="301"/>
      <c r="RJ37" s="301"/>
      <c r="RK37" s="301"/>
      <c r="RL37" s="301"/>
      <c r="RM37" s="301"/>
      <c r="RN37" s="301"/>
      <c r="RO37" s="301"/>
      <c r="RP37" s="301"/>
      <c r="RQ37" s="301"/>
      <c r="RR37" s="301"/>
      <c r="RS37" s="301"/>
      <c r="RT37" s="301"/>
      <c r="RU37" s="301"/>
      <c r="RV37" s="301"/>
      <c r="RW37" s="301"/>
      <c r="RX37" s="301"/>
      <c r="RY37" s="301"/>
      <c r="RZ37" s="301"/>
      <c r="SA37" s="301"/>
      <c r="SB37" s="301"/>
      <c r="SC37" s="301"/>
      <c r="SD37" s="301"/>
      <c r="SE37" s="301"/>
      <c r="SF37" s="301"/>
      <c r="SG37" s="301"/>
      <c r="SH37" s="301"/>
      <c r="SI37" s="301"/>
      <c r="SJ37" s="301"/>
      <c r="SK37" s="301"/>
      <c r="SL37" s="301"/>
      <c r="SM37" s="301"/>
      <c r="SN37" s="301"/>
      <c r="SO37" s="301"/>
      <c r="SP37" s="301"/>
      <c r="SQ37" s="301"/>
      <c r="SR37" s="301"/>
      <c r="SS37" s="301"/>
      <c r="ST37" s="301"/>
      <c r="SU37" s="301"/>
      <c r="SV37" s="301"/>
      <c r="SW37" s="301"/>
      <c r="SX37" s="301"/>
      <c r="SY37" s="301"/>
      <c r="SZ37" s="301"/>
      <c r="TA37" s="301"/>
      <c r="TB37" s="301"/>
      <c r="TC37" s="301"/>
      <c r="TD37" s="301"/>
      <c r="TE37" s="301"/>
      <c r="TF37" s="301"/>
      <c r="TG37" s="301"/>
      <c r="TH37" s="301"/>
      <c r="TI37" s="301"/>
      <c r="TJ37" s="301"/>
      <c r="TK37" s="301"/>
      <c r="TL37" s="301"/>
      <c r="TM37" s="301"/>
      <c r="TN37" s="301"/>
      <c r="TO37" s="301"/>
      <c r="TP37" s="301"/>
      <c r="TQ37" s="301"/>
      <c r="TR37" s="301"/>
      <c r="TS37" s="301"/>
      <c r="TT37" s="301"/>
      <c r="TU37" s="301"/>
      <c r="TV37" s="301"/>
      <c r="TW37" s="301"/>
      <c r="TX37" s="301"/>
      <c r="TY37" s="301"/>
      <c r="TZ37" s="301"/>
      <c r="UA37" s="301"/>
      <c r="UB37" s="301"/>
      <c r="UC37" s="301"/>
      <c r="UD37" s="301"/>
      <c r="UE37" s="301"/>
      <c r="UF37" s="301"/>
      <c r="UG37" s="301"/>
      <c r="UH37" s="301"/>
      <c r="UI37" s="301"/>
      <c r="UJ37" s="301"/>
      <c r="UK37" s="301"/>
      <c r="UL37" s="301"/>
      <c r="UM37" s="301"/>
      <c r="UN37" s="301"/>
      <c r="UO37" s="301"/>
      <c r="UP37" s="301"/>
      <c r="UQ37" s="301"/>
      <c r="UR37" s="301"/>
      <c r="US37" s="301"/>
      <c r="UT37" s="301"/>
      <c r="UU37" s="301"/>
      <c r="UV37" s="301"/>
      <c r="UW37" s="301"/>
      <c r="UX37" s="301"/>
      <c r="UY37" s="301"/>
      <c r="UZ37" s="301"/>
      <c r="VA37" s="301"/>
      <c r="VB37" s="301"/>
      <c r="VC37" s="301"/>
      <c r="VD37" s="301"/>
      <c r="VE37" s="301"/>
      <c r="VF37" s="301"/>
      <c r="VG37" s="301"/>
      <c r="VH37" s="301"/>
      <c r="VI37" s="301"/>
      <c r="VJ37" s="301"/>
      <c r="VK37" s="301"/>
      <c r="VL37" s="301"/>
      <c r="VM37" s="301"/>
      <c r="VN37" s="301"/>
      <c r="VO37" s="301"/>
      <c r="VP37" s="301"/>
      <c r="VQ37" s="301"/>
      <c r="VR37" s="301"/>
      <c r="VS37" s="301"/>
      <c r="VT37" s="301"/>
      <c r="VU37" s="301"/>
      <c r="VV37" s="301"/>
      <c r="VW37" s="301"/>
      <c r="VX37" s="301"/>
      <c r="VY37" s="301"/>
      <c r="VZ37" s="301"/>
      <c r="WA37" s="301"/>
      <c r="WB37" s="301"/>
      <c r="WC37" s="301"/>
      <c r="WD37" s="301"/>
      <c r="WE37" s="301"/>
      <c r="WF37" s="301"/>
      <c r="WG37" s="301"/>
      <c r="WH37" s="301"/>
      <c r="WI37" s="301"/>
      <c r="WJ37" s="301"/>
      <c r="WK37" s="301"/>
      <c r="WL37" s="301"/>
      <c r="WM37" s="301"/>
      <c r="WN37" s="301"/>
      <c r="WO37" s="301"/>
      <c r="WP37" s="301"/>
      <c r="WQ37" s="301"/>
      <c r="WR37" s="301"/>
      <c r="WS37" s="301"/>
      <c r="WT37" s="301"/>
      <c r="WU37" s="301"/>
      <c r="WV37" s="301"/>
      <c r="WW37" s="301"/>
      <c r="WX37" s="301"/>
      <c r="WY37" s="301"/>
      <c r="WZ37" s="301"/>
      <c r="XA37" s="301"/>
      <c r="XB37" s="301"/>
      <c r="XC37" s="301"/>
      <c r="XD37" s="301"/>
      <c r="XE37" s="301"/>
      <c r="XF37" s="301"/>
      <c r="XG37" s="301"/>
      <c r="XH37" s="301"/>
      <c r="XI37" s="301"/>
      <c r="XJ37" s="301"/>
      <c r="XK37" s="301"/>
      <c r="XL37" s="301"/>
      <c r="XM37" s="301"/>
      <c r="XN37" s="301"/>
      <c r="XO37" s="301"/>
      <c r="XP37" s="301"/>
      <c r="XQ37" s="301"/>
      <c r="XR37" s="301"/>
      <c r="XS37" s="301"/>
      <c r="XT37" s="301"/>
      <c r="XU37" s="301"/>
      <c r="XV37" s="301"/>
      <c r="XW37" s="301"/>
      <c r="XX37" s="301"/>
      <c r="XY37" s="301"/>
      <c r="XZ37" s="301"/>
      <c r="YA37" s="301"/>
      <c r="YB37" s="301"/>
      <c r="YC37" s="301"/>
      <c r="YD37" s="301"/>
      <c r="YE37" s="301"/>
      <c r="YF37" s="301"/>
      <c r="YG37" s="301"/>
      <c r="YH37" s="301"/>
      <c r="YI37" s="301"/>
      <c r="YJ37" s="301"/>
      <c r="YK37" s="301"/>
      <c r="YL37" s="301"/>
      <c r="YM37" s="301"/>
      <c r="YN37" s="301"/>
      <c r="YO37" s="301"/>
      <c r="YP37" s="301"/>
      <c r="YQ37" s="301"/>
      <c r="YR37" s="301"/>
      <c r="YS37" s="301"/>
      <c r="YT37" s="301"/>
      <c r="YU37" s="301"/>
      <c r="YV37" s="301"/>
      <c r="YW37" s="301"/>
      <c r="YX37" s="301"/>
      <c r="YY37" s="301"/>
      <c r="YZ37" s="301"/>
      <c r="ZA37" s="301"/>
      <c r="ZB37" s="301"/>
      <c r="ZC37" s="301"/>
      <c r="ZD37" s="301"/>
      <c r="ZE37" s="301"/>
      <c r="ZF37" s="301"/>
      <c r="ZG37" s="301"/>
      <c r="ZH37" s="301"/>
      <c r="ZI37" s="301"/>
      <c r="ZJ37" s="301"/>
      <c r="ZK37" s="301"/>
      <c r="ZL37" s="301"/>
      <c r="ZM37" s="301"/>
      <c r="ZN37" s="301"/>
      <c r="ZO37" s="301"/>
      <c r="ZP37" s="301"/>
      <c r="ZQ37" s="301"/>
      <c r="ZR37" s="301"/>
      <c r="ZS37" s="301"/>
      <c r="ZT37" s="301"/>
      <c r="ZU37" s="301"/>
      <c r="ZV37" s="301"/>
      <c r="ZW37" s="301"/>
      <c r="ZX37" s="301"/>
      <c r="ZY37" s="301"/>
      <c r="ZZ37" s="301"/>
      <c r="AAA37" s="301"/>
      <c r="AAB37" s="301"/>
      <c r="AAC37" s="301"/>
      <c r="AAD37" s="301"/>
      <c r="AAE37" s="301"/>
      <c r="AAF37" s="301"/>
      <c r="AAG37" s="301"/>
      <c r="AAH37" s="301"/>
      <c r="AAI37" s="301"/>
      <c r="AAJ37" s="301"/>
      <c r="AAK37" s="301"/>
      <c r="AAL37" s="301"/>
      <c r="AAM37" s="301"/>
      <c r="AAN37" s="301"/>
      <c r="AAO37" s="301"/>
      <c r="AAP37" s="301"/>
      <c r="AAQ37" s="301"/>
      <c r="AAR37" s="301"/>
      <c r="AAS37" s="301"/>
      <c r="AAT37" s="301"/>
      <c r="AAU37" s="301"/>
      <c r="AAV37" s="301"/>
      <c r="AAW37" s="301"/>
      <c r="AAX37" s="301"/>
      <c r="AAY37" s="301"/>
      <c r="AAZ37" s="301"/>
      <c r="ABA37" s="301"/>
      <c r="ABB37" s="301"/>
      <c r="ABC37" s="301"/>
      <c r="ABD37" s="301"/>
      <c r="ABE37" s="301"/>
      <c r="ABF37" s="301"/>
      <c r="ABG37" s="301"/>
      <c r="ABH37" s="301"/>
      <c r="ABI37" s="301"/>
      <c r="ABJ37" s="301"/>
      <c r="ABK37" s="301"/>
      <c r="ABL37" s="301"/>
      <c r="ABM37" s="301"/>
      <c r="ABN37" s="301"/>
      <c r="ABO37" s="301"/>
      <c r="ABP37" s="301"/>
      <c r="ABQ37" s="301"/>
      <c r="ABR37" s="301"/>
      <c r="ABS37" s="301"/>
      <c r="ABT37" s="301"/>
      <c r="ABU37" s="301"/>
      <c r="ABV37" s="301"/>
      <c r="ABW37" s="301"/>
      <c r="ABX37" s="301"/>
      <c r="ABY37" s="301"/>
      <c r="ABZ37" s="301"/>
      <c r="ACA37" s="301"/>
      <c r="ACB37" s="301"/>
      <c r="ACC37" s="301"/>
      <c r="ACD37" s="301"/>
      <c r="ACE37" s="301"/>
      <c r="ACF37" s="301"/>
      <c r="ACG37" s="301"/>
      <c r="ACH37" s="301"/>
      <c r="ACI37" s="301"/>
      <c r="ACJ37" s="301"/>
      <c r="ACK37" s="301"/>
      <c r="ACL37" s="301"/>
      <c r="ACM37" s="301"/>
      <c r="ACN37" s="301"/>
      <c r="ACO37" s="301"/>
      <c r="ACP37" s="301"/>
      <c r="ACQ37" s="301"/>
      <c r="ACR37" s="301"/>
      <c r="ACS37" s="301"/>
      <c r="ACT37" s="301"/>
      <c r="ACU37" s="301"/>
      <c r="ACV37" s="301"/>
      <c r="ACW37" s="301"/>
      <c r="ACX37" s="301"/>
      <c r="ACY37" s="301"/>
      <c r="ACZ37" s="301"/>
      <c r="ADA37" s="301"/>
      <c r="ADB37" s="301"/>
      <c r="ADC37" s="301"/>
      <c r="ADD37" s="301"/>
      <c r="ADE37" s="301"/>
      <c r="ADF37" s="301"/>
      <c r="ADG37" s="301"/>
      <c r="ADH37" s="301"/>
      <c r="ADI37" s="301"/>
      <c r="ADJ37" s="301"/>
      <c r="ADK37" s="301"/>
      <c r="ADL37" s="301"/>
      <c r="ADM37" s="301"/>
      <c r="ADN37" s="301"/>
      <c r="ADO37" s="301"/>
      <c r="ADP37" s="301"/>
      <c r="ADQ37" s="301"/>
      <c r="ADR37" s="301"/>
      <c r="ADS37" s="301"/>
      <c r="ADT37" s="301"/>
      <c r="ADU37" s="301"/>
      <c r="ADV37" s="301"/>
      <c r="ADW37" s="301"/>
      <c r="ADX37" s="301"/>
      <c r="ADY37" s="301"/>
      <c r="ADZ37" s="301"/>
      <c r="AEA37" s="301"/>
      <c r="AEB37" s="301"/>
      <c r="AEC37" s="301"/>
      <c r="AED37" s="301"/>
      <c r="AEE37" s="301"/>
      <c r="AEF37" s="301"/>
      <c r="AEG37" s="301"/>
      <c r="AEH37" s="301"/>
      <c r="AEI37" s="301"/>
      <c r="AEJ37" s="301"/>
      <c r="AEK37" s="301"/>
      <c r="AEL37" s="301"/>
      <c r="AEM37" s="301"/>
      <c r="AEN37" s="301"/>
      <c r="AEO37" s="301"/>
      <c r="AEP37" s="301"/>
      <c r="AEQ37" s="301"/>
      <c r="AER37" s="301"/>
      <c r="AES37" s="301"/>
      <c r="AET37" s="301"/>
      <c r="AEU37" s="301"/>
      <c r="AEV37" s="301"/>
      <c r="AEW37" s="301"/>
      <c r="AEX37" s="301"/>
      <c r="AEY37" s="301"/>
      <c r="AEZ37" s="301"/>
      <c r="AFA37" s="301"/>
      <c r="AFB37" s="301"/>
      <c r="AFC37" s="301"/>
      <c r="AFD37" s="301"/>
      <c r="AFE37" s="301"/>
      <c r="AFF37" s="301"/>
      <c r="AFG37" s="301"/>
      <c r="AFH37" s="301"/>
      <c r="AFI37" s="301"/>
      <c r="AFJ37" s="301"/>
      <c r="AFK37" s="301"/>
      <c r="AFL37" s="301"/>
      <c r="AFM37" s="301"/>
      <c r="AFN37" s="301"/>
      <c r="AFO37" s="301"/>
      <c r="AFP37" s="301"/>
      <c r="AFQ37" s="301"/>
      <c r="AFR37" s="301"/>
      <c r="AFS37" s="301"/>
      <c r="AFT37" s="301"/>
      <c r="AFU37" s="301"/>
      <c r="AFV37" s="301"/>
      <c r="AFW37" s="301"/>
      <c r="AFX37" s="301"/>
      <c r="AFY37" s="301"/>
      <c r="AFZ37" s="301"/>
      <c r="AGA37" s="301"/>
      <c r="AGB37" s="301"/>
      <c r="AGC37" s="301"/>
      <c r="AGD37" s="301"/>
      <c r="AGE37" s="301"/>
      <c r="AGF37" s="301"/>
      <c r="AGG37" s="301"/>
      <c r="AGH37" s="301"/>
      <c r="AGI37" s="301"/>
      <c r="AGJ37" s="301"/>
      <c r="AGK37" s="301"/>
      <c r="AGL37" s="301"/>
      <c r="AGM37" s="301"/>
      <c r="AGN37" s="301"/>
      <c r="AGO37" s="301"/>
      <c r="AGP37" s="301"/>
      <c r="AGQ37" s="301"/>
      <c r="AGR37" s="301"/>
      <c r="AGS37" s="301"/>
      <c r="AGT37" s="301"/>
      <c r="AGU37" s="301"/>
      <c r="AGV37" s="301"/>
      <c r="AGW37" s="301"/>
      <c r="AGX37" s="301"/>
      <c r="AGY37" s="301"/>
      <c r="AGZ37" s="301"/>
      <c r="AHA37" s="301"/>
      <c r="AHB37" s="301"/>
      <c r="AHC37" s="301"/>
      <c r="AHD37" s="301"/>
      <c r="AHE37" s="301"/>
      <c r="AHF37" s="301"/>
      <c r="AHG37" s="301"/>
      <c r="AHH37" s="301"/>
      <c r="AHI37" s="301"/>
      <c r="AHJ37" s="301"/>
      <c r="AHK37" s="301"/>
      <c r="AHL37" s="301"/>
      <c r="AHM37" s="301"/>
      <c r="AHN37" s="301"/>
      <c r="AHO37" s="301"/>
      <c r="AHP37" s="301"/>
      <c r="AHQ37" s="301"/>
      <c r="AHR37" s="301"/>
      <c r="AHS37" s="301"/>
      <c r="AHT37" s="301"/>
      <c r="AHU37" s="301"/>
      <c r="AHV37" s="301"/>
      <c r="AHW37" s="301"/>
      <c r="AHX37" s="301"/>
      <c r="AHY37" s="301"/>
      <c r="AHZ37" s="301"/>
      <c r="AIA37" s="301"/>
      <c r="AIB37" s="301"/>
      <c r="AIC37" s="301"/>
      <c r="AID37" s="301"/>
      <c r="AIE37" s="301"/>
      <c r="AIF37" s="301"/>
      <c r="AIG37" s="301"/>
      <c r="AIH37" s="301"/>
      <c r="AII37" s="301"/>
      <c r="AIJ37" s="301"/>
      <c r="AIK37" s="301"/>
      <c r="AIL37" s="301"/>
      <c r="AIM37" s="301"/>
      <c r="AIN37" s="301"/>
      <c r="AIO37" s="301"/>
      <c r="AIP37" s="301"/>
      <c r="AIQ37" s="301"/>
      <c r="AIR37" s="301"/>
      <c r="AIS37" s="301"/>
      <c r="AIT37" s="301"/>
      <c r="AIU37" s="301"/>
      <c r="AIV37" s="301"/>
      <c r="AIW37" s="301"/>
      <c r="AIX37" s="301"/>
      <c r="AIY37" s="301"/>
      <c r="AIZ37" s="301"/>
      <c r="AJA37" s="301"/>
      <c r="AJB37" s="301"/>
      <c r="AJC37" s="301"/>
      <c r="AJD37" s="301"/>
      <c r="AJE37" s="301"/>
      <c r="AJF37" s="301"/>
      <c r="AJG37" s="301"/>
      <c r="AJH37" s="301"/>
      <c r="AJI37" s="301"/>
      <c r="AJJ37" s="301"/>
      <c r="AJK37" s="301"/>
      <c r="AJL37" s="301"/>
      <c r="AJM37" s="301"/>
      <c r="AJN37" s="301"/>
      <c r="AJO37" s="301"/>
      <c r="AJP37" s="301"/>
      <c r="AJQ37" s="301"/>
      <c r="AJR37" s="301"/>
      <c r="AJS37" s="301"/>
      <c r="AJT37" s="301"/>
      <c r="AJU37" s="301"/>
      <c r="AJV37" s="301"/>
      <c r="AJW37" s="301"/>
      <c r="AJX37" s="301"/>
      <c r="AJY37" s="301"/>
      <c r="AJZ37" s="301"/>
      <c r="AKA37" s="301"/>
      <c r="AKB37" s="301"/>
      <c r="AKC37" s="301"/>
      <c r="AKD37" s="301"/>
      <c r="AKE37" s="301"/>
      <c r="AKF37" s="301"/>
      <c r="AKG37" s="301"/>
      <c r="AKH37" s="301"/>
      <c r="AKI37" s="301"/>
      <c r="AKJ37" s="301"/>
      <c r="AKK37" s="301"/>
      <c r="AKL37" s="301"/>
      <c r="AKM37" s="301"/>
      <c r="AKN37" s="301"/>
      <c r="AKO37" s="301"/>
      <c r="AKP37" s="301"/>
      <c r="AKQ37" s="301"/>
      <c r="AKR37" s="301"/>
      <c r="AKS37" s="301"/>
      <c r="AKT37" s="301"/>
      <c r="AKU37" s="301"/>
      <c r="AKV37" s="301"/>
      <c r="AKW37" s="301"/>
      <c r="AKX37" s="301"/>
      <c r="AKY37" s="301"/>
      <c r="AKZ37" s="301"/>
      <c r="ALA37" s="301"/>
      <c r="ALB37" s="301"/>
      <c r="ALC37" s="301"/>
      <c r="ALD37" s="301"/>
      <c r="ALE37" s="301"/>
      <c r="ALF37" s="301"/>
      <c r="ALG37" s="301"/>
      <c r="ALH37" s="301"/>
      <c r="ALI37" s="301"/>
      <c r="ALJ37" s="301"/>
      <c r="ALK37" s="301"/>
      <c r="ALL37" s="301"/>
      <c r="ALM37" s="301"/>
      <c r="ALN37" s="301"/>
      <c r="ALO37" s="301"/>
      <c r="ALP37" s="301"/>
      <c r="ALQ37" s="301"/>
      <c r="ALR37" s="301"/>
      <c r="ALS37" s="301"/>
      <c r="ALT37" s="301"/>
      <c r="ALU37" s="301"/>
      <c r="ALV37" s="301"/>
      <c r="ALW37" s="301"/>
      <c r="ALX37" s="301"/>
      <c r="ALY37" s="301"/>
      <c r="ALZ37" s="301"/>
      <c r="AMA37" s="301"/>
      <c r="AMB37" s="301"/>
      <c r="AMC37" s="301"/>
      <c r="AMD37" s="301"/>
      <c r="AME37" s="301"/>
      <c r="AMF37" s="301"/>
      <c r="AMG37" s="301"/>
      <c r="AMH37" s="301"/>
      <c r="AMI37" s="301"/>
      <c r="AMJ37" s="301"/>
    </row>
    <row r="38" customFormat="false" ht="12.8" hidden="false" customHeight="false" outlineLevel="0" collapsed="false">
      <c r="B38" s="319"/>
      <c r="C38" s="298"/>
      <c r="D38" s="298"/>
      <c r="E38" s="298"/>
      <c r="F38" s="319"/>
      <c r="G38" s="298"/>
      <c r="H38" s="319"/>
      <c r="I38" s="298"/>
    </row>
    <row r="39" customFormat="false" ht="12.8" hidden="false" customHeight="false" outlineLevel="0" collapsed="false">
      <c r="A39" s="327" t="s">
        <v>203</v>
      </c>
      <c r="B39" s="328" t="str">
        <f aca="false">IF(SUM(B32:B37),SUM(B32:B37),"")</f>
        <v/>
      </c>
      <c r="C39" s="329"/>
      <c r="D39" s="328" t="str">
        <f aca="false">IF(SUM(D32:D37),SUM(D32:D37),"")</f>
        <v/>
      </c>
      <c r="E39" s="329"/>
      <c r="F39" s="328" t="str">
        <f aca="false">IF(SUM(F32:F37),SUM(F32:F37),"")</f>
        <v/>
      </c>
      <c r="G39" s="329"/>
      <c r="H39" s="328" t="n">
        <f aca="false">IF(SUM(H32:H37),SUM(H32:H37),"")</f>
        <v>150</v>
      </c>
      <c r="I39" s="329"/>
      <c r="J39" s="328" t="n">
        <f aca="false">IF(SUM(J32:J37),SUM(J32:J37),"")</f>
        <v>600</v>
      </c>
      <c r="K39" s="329"/>
      <c r="L39" s="301"/>
      <c r="M39" s="301"/>
      <c r="N39" s="301"/>
      <c r="O39" s="301"/>
      <c r="P39" s="301"/>
      <c r="Q39" s="301"/>
      <c r="R39" s="301"/>
      <c r="S39" s="301"/>
      <c r="T39" s="301"/>
      <c r="U39" s="301"/>
      <c r="V39" s="301"/>
      <c r="W39" s="301"/>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1"/>
      <c r="BD39" s="301"/>
      <c r="BE39" s="301"/>
      <c r="BF39" s="301"/>
      <c r="BG39" s="301"/>
      <c r="BH39" s="301"/>
      <c r="BI39" s="301"/>
      <c r="BJ39" s="301"/>
      <c r="BK39" s="301"/>
      <c r="BL39" s="301"/>
      <c r="BM39" s="301"/>
      <c r="BN39" s="301"/>
      <c r="BO39" s="301"/>
      <c r="BP39" s="301"/>
      <c r="BQ39" s="301"/>
      <c r="BR39" s="301"/>
      <c r="BS39" s="301"/>
      <c r="BT39" s="301"/>
      <c r="BU39" s="301"/>
      <c r="BV39" s="301"/>
      <c r="BW39" s="301"/>
      <c r="BX39" s="301"/>
      <c r="BY39" s="301"/>
      <c r="BZ39" s="301"/>
      <c r="CA39" s="301"/>
      <c r="CB39" s="301"/>
      <c r="CC39" s="301"/>
      <c r="CD39" s="301"/>
      <c r="CE39" s="301"/>
      <c r="CF39" s="301"/>
      <c r="CG39" s="301"/>
      <c r="CH39" s="301"/>
      <c r="CI39" s="301"/>
      <c r="CJ39" s="301"/>
      <c r="CK39" s="301"/>
      <c r="CL39" s="301"/>
      <c r="CM39" s="301"/>
      <c r="CN39" s="301"/>
      <c r="CO39" s="301"/>
      <c r="CP39" s="301"/>
      <c r="CQ39" s="301"/>
      <c r="CR39" s="301"/>
      <c r="CS39" s="301"/>
      <c r="CT39" s="301"/>
      <c r="CU39" s="301"/>
      <c r="CV39" s="301"/>
      <c r="CW39" s="301"/>
      <c r="CX39" s="301"/>
      <c r="CY39" s="301"/>
      <c r="CZ39" s="301"/>
      <c r="DA39" s="301"/>
      <c r="DB39" s="301"/>
      <c r="DC39" s="301"/>
      <c r="DD39" s="301"/>
      <c r="DE39" s="301"/>
      <c r="DF39" s="301"/>
      <c r="DG39" s="301"/>
      <c r="DH39" s="301"/>
      <c r="DI39" s="301"/>
      <c r="DJ39" s="301"/>
      <c r="DK39" s="301"/>
      <c r="DL39" s="301"/>
      <c r="DM39" s="301"/>
      <c r="DN39" s="301"/>
      <c r="DO39" s="301"/>
      <c r="DP39" s="301"/>
      <c r="DQ39" s="301"/>
      <c r="DR39" s="301"/>
      <c r="DS39" s="301"/>
      <c r="DT39" s="301"/>
      <c r="DU39" s="301"/>
      <c r="DV39" s="301"/>
      <c r="DW39" s="301"/>
      <c r="DX39" s="301"/>
      <c r="DY39" s="301"/>
      <c r="DZ39" s="301"/>
      <c r="EA39" s="301"/>
      <c r="EB39" s="301"/>
      <c r="EC39" s="301"/>
      <c r="ED39" s="301"/>
      <c r="EE39" s="301"/>
      <c r="EF39" s="301"/>
      <c r="EG39" s="301"/>
      <c r="EH39" s="301"/>
      <c r="EI39" s="301"/>
      <c r="EJ39" s="301"/>
      <c r="EK39" s="301"/>
      <c r="EL39" s="301"/>
      <c r="EM39" s="301"/>
      <c r="EN39" s="301"/>
      <c r="EO39" s="301"/>
      <c r="EP39" s="301"/>
      <c r="EQ39" s="301"/>
      <c r="ER39" s="301"/>
      <c r="ES39" s="301"/>
      <c r="ET39" s="301"/>
      <c r="EU39" s="301"/>
      <c r="EV39" s="301"/>
      <c r="EW39" s="301"/>
      <c r="EX39" s="301"/>
      <c r="EY39" s="301"/>
      <c r="EZ39" s="301"/>
      <c r="FA39" s="301"/>
      <c r="FB39" s="301"/>
      <c r="FC39" s="301"/>
      <c r="FD39" s="301"/>
      <c r="FE39" s="301"/>
      <c r="FF39" s="301"/>
      <c r="FG39" s="301"/>
      <c r="FH39" s="301"/>
      <c r="FI39" s="301"/>
      <c r="FJ39" s="301"/>
      <c r="FK39" s="301"/>
      <c r="FL39" s="301"/>
      <c r="FM39" s="301"/>
      <c r="FN39" s="301"/>
      <c r="FO39" s="301"/>
      <c r="FP39" s="301"/>
      <c r="FQ39" s="301"/>
      <c r="FR39" s="301"/>
      <c r="FS39" s="301"/>
      <c r="FT39" s="301"/>
      <c r="FU39" s="301"/>
      <c r="FV39" s="301"/>
      <c r="FW39" s="301"/>
      <c r="FX39" s="301"/>
      <c r="FY39" s="301"/>
      <c r="FZ39" s="301"/>
      <c r="GA39" s="301"/>
      <c r="GB39" s="301"/>
      <c r="GC39" s="301"/>
      <c r="GD39" s="301"/>
      <c r="GE39" s="301"/>
      <c r="GF39" s="301"/>
      <c r="GG39" s="301"/>
      <c r="GH39" s="301"/>
      <c r="GI39" s="301"/>
      <c r="GJ39" s="301"/>
      <c r="GK39" s="301"/>
      <c r="GL39" s="301"/>
      <c r="GM39" s="301"/>
      <c r="GN39" s="301"/>
      <c r="GO39" s="301"/>
      <c r="GP39" s="301"/>
      <c r="GQ39" s="301"/>
      <c r="GR39" s="301"/>
      <c r="GS39" s="301"/>
      <c r="GT39" s="301"/>
      <c r="GU39" s="301"/>
      <c r="GV39" s="301"/>
      <c r="GW39" s="301"/>
      <c r="GX39" s="301"/>
      <c r="GY39" s="301"/>
      <c r="GZ39" s="301"/>
      <c r="HA39" s="301"/>
      <c r="HB39" s="301"/>
      <c r="HC39" s="301"/>
      <c r="HD39" s="301"/>
      <c r="HE39" s="301"/>
      <c r="HF39" s="301"/>
      <c r="HG39" s="301"/>
      <c r="HH39" s="301"/>
      <c r="HI39" s="301"/>
      <c r="HJ39" s="301"/>
      <c r="HK39" s="301"/>
      <c r="HL39" s="301"/>
      <c r="HM39" s="301"/>
      <c r="HN39" s="301"/>
      <c r="HO39" s="301"/>
      <c r="HP39" s="301"/>
      <c r="HQ39" s="301"/>
      <c r="HR39" s="301"/>
      <c r="HS39" s="301"/>
      <c r="HT39" s="301"/>
      <c r="HU39" s="301"/>
      <c r="HV39" s="301"/>
      <c r="HW39" s="301"/>
      <c r="HX39" s="301"/>
      <c r="HY39" s="301"/>
      <c r="HZ39" s="301"/>
      <c r="IA39" s="301"/>
      <c r="IB39" s="301"/>
      <c r="IC39" s="301"/>
      <c r="ID39" s="301"/>
      <c r="IE39" s="301"/>
      <c r="IF39" s="301"/>
      <c r="IG39" s="301"/>
      <c r="IH39" s="301"/>
      <c r="II39" s="301"/>
      <c r="IJ39" s="301"/>
      <c r="IK39" s="301"/>
      <c r="IL39" s="301"/>
      <c r="IM39" s="301"/>
      <c r="IN39" s="301"/>
      <c r="IO39" s="301"/>
      <c r="IP39" s="301"/>
      <c r="IQ39" s="301"/>
      <c r="IR39" s="301"/>
      <c r="IS39" s="301"/>
      <c r="IT39" s="301"/>
      <c r="IU39" s="301"/>
      <c r="IV39" s="301"/>
      <c r="IW39" s="301"/>
      <c r="IX39" s="301"/>
      <c r="IY39" s="301"/>
      <c r="IZ39" s="301"/>
      <c r="JA39" s="301"/>
      <c r="JB39" s="301"/>
      <c r="JC39" s="301"/>
      <c r="JD39" s="301"/>
      <c r="JE39" s="301"/>
      <c r="JF39" s="301"/>
      <c r="JG39" s="301"/>
      <c r="JH39" s="301"/>
      <c r="JI39" s="301"/>
      <c r="JJ39" s="301"/>
      <c r="JK39" s="301"/>
      <c r="JL39" s="301"/>
      <c r="JM39" s="301"/>
      <c r="JN39" s="301"/>
      <c r="JO39" s="301"/>
      <c r="JP39" s="301"/>
      <c r="JQ39" s="301"/>
      <c r="JR39" s="301"/>
      <c r="JS39" s="301"/>
      <c r="JT39" s="301"/>
      <c r="JU39" s="301"/>
      <c r="JV39" s="301"/>
      <c r="JW39" s="301"/>
      <c r="JX39" s="301"/>
      <c r="JY39" s="301"/>
      <c r="JZ39" s="301"/>
      <c r="KA39" s="301"/>
      <c r="KB39" s="301"/>
      <c r="KC39" s="301"/>
      <c r="KD39" s="301"/>
      <c r="KE39" s="301"/>
      <c r="KF39" s="301"/>
      <c r="KG39" s="301"/>
      <c r="KH39" s="301"/>
      <c r="KI39" s="301"/>
      <c r="KJ39" s="301"/>
      <c r="KK39" s="301"/>
      <c r="KL39" s="301"/>
      <c r="KM39" s="301"/>
      <c r="KN39" s="301"/>
      <c r="KO39" s="301"/>
      <c r="KP39" s="301"/>
      <c r="KQ39" s="301"/>
      <c r="KR39" s="301"/>
      <c r="KS39" s="301"/>
      <c r="KT39" s="301"/>
      <c r="KU39" s="301"/>
      <c r="KV39" s="301"/>
      <c r="KW39" s="301"/>
      <c r="KX39" s="301"/>
      <c r="KY39" s="301"/>
      <c r="KZ39" s="301"/>
      <c r="LA39" s="301"/>
      <c r="LB39" s="301"/>
      <c r="LC39" s="301"/>
      <c r="LD39" s="301"/>
      <c r="LE39" s="301"/>
      <c r="LF39" s="301"/>
      <c r="LG39" s="301"/>
      <c r="LH39" s="301"/>
      <c r="LI39" s="301"/>
      <c r="LJ39" s="301"/>
      <c r="LK39" s="301"/>
      <c r="LL39" s="301"/>
      <c r="LM39" s="301"/>
      <c r="LN39" s="301"/>
      <c r="LO39" s="301"/>
      <c r="LP39" s="301"/>
      <c r="LQ39" s="301"/>
      <c r="LR39" s="301"/>
      <c r="LS39" s="301"/>
      <c r="LT39" s="301"/>
      <c r="LU39" s="301"/>
      <c r="LV39" s="301"/>
      <c r="LW39" s="301"/>
      <c r="LX39" s="301"/>
      <c r="LY39" s="301"/>
      <c r="LZ39" s="301"/>
      <c r="MA39" s="301"/>
      <c r="MB39" s="301"/>
      <c r="MC39" s="301"/>
      <c r="MD39" s="301"/>
      <c r="ME39" s="301"/>
      <c r="MF39" s="301"/>
      <c r="MG39" s="301"/>
      <c r="MH39" s="301"/>
      <c r="MI39" s="301"/>
      <c r="MJ39" s="301"/>
      <c r="MK39" s="301"/>
      <c r="ML39" s="301"/>
      <c r="MM39" s="301"/>
      <c r="MN39" s="301"/>
      <c r="MO39" s="301"/>
      <c r="MP39" s="301"/>
      <c r="MQ39" s="301"/>
      <c r="MR39" s="301"/>
      <c r="MS39" s="301"/>
      <c r="MT39" s="301"/>
      <c r="MU39" s="301"/>
      <c r="MV39" s="301"/>
      <c r="MW39" s="301"/>
      <c r="MX39" s="301"/>
      <c r="MY39" s="301"/>
      <c r="MZ39" s="301"/>
      <c r="NA39" s="301"/>
      <c r="NB39" s="301"/>
      <c r="NC39" s="301"/>
      <c r="ND39" s="301"/>
      <c r="NE39" s="301"/>
      <c r="NF39" s="301"/>
      <c r="NG39" s="301"/>
      <c r="NH39" s="301"/>
      <c r="NI39" s="301"/>
      <c r="NJ39" s="301"/>
      <c r="NK39" s="301"/>
      <c r="NL39" s="301"/>
      <c r="NM39" s="301"/>
      <c r="NN39" s="301"/>
      <c r="NO39" s="301"/>
      <c r="NP39" s="301"/>
      <c r="NQ39" s="301"/>
      <c r="NR39" s="301"/>
      <c r="NS39" s="301"/>
      <c r="NT39" s="301"/>
      <c r="NU39" s="301"/>
      <c r="NV39" s="301"/>
      <c r="NW39" s="301"/>
      <c r="NX39" s="301"/>
      <c r="NY39" s="301"/>
      <c r="NZ39" s="301"/>
      <c r="OA39" s="301"/>
      <c r="OB39" s="301"/>
      <c r="OC39" s="301"/>
      <c r="OD39" s="301"/>
      <c r="OE39" s="301"/>
      <c r="OF39" s="301"/>
      <c r="OG39" s="301"/>
      <c r="OH39" s="301"/>
      <c r="OI39" s="301"/>
      <c r="OJ39" s="301"/>
      <c r="OK39" s="301"/>
      <c r="OL39" s="301"/>
      <c r="OM39" s="301"/>
      <c r="ON39" s="301"/>
      <c r="OO39" s="301"/>
      <c r="OP39" s="301"/>
      <c r="OQ39" s="301"/>
      <c r="OR39" s="301"/>
      <c r="OS39" s="301"/>
      <c r="OT39" s="301"/>
      <c r="OU39" s="301"/>
      <c r="OV39" s="301"/>
      <c r="OW39" s="301"/>
      <c r="OX39" s="301"/>
      <c r="OY39" s="301"/>
      <c r="OZ39" s="301"/>
      <c r="PA39" s="301"/>
      <c r="PB39" s="301"/>
      <c r="PC39" s="301"/>
      <c r="PD39" s="301"/>
      <c r="PE39" s="301"/>
      <c r="PF39" s="301"/>
      <c r="PG39" s="301"/>
      <c r="PH39" s="301"/>
      <c r="PI39" s="301"/>
      <c r="PJ39" s="301"/>
      <c r="PK39" s="301"/>
      <c r="PL39" s="301"/>
      <c r="PM39" s="301"/>
      <c r="PN39" s="301"/>
      <c r="PO39" s="301"/>
      <c r="PP39" s="301"/>
      <c r="PQ39" s="301"/>
      <c r="PR39" s="301"/>
      <c r="PS39" s="301"/>
      <c r="PT39" s="301"/>
      <c r="PU39" s="301"/>
      <c r="PV39" s="301"/>
      <c r="PW39" s="301"/>
      <c r="PX39" s="301"/>
      <c r="PY39" s="301"/>
      <c r="PZ39" s="301"/>
      <c r="QA39" s="301"/>
      <c r="QB39" s="301"/>
      <c r="QC39" s="301"/>
      <c r="QD39" s="301"/>
      <c r="QE39" s="301"/>
      <c r="QF39" s="301"/>
      <c r="QG39" s="301"/>
      <c r="QH39" s="301"/>
      <c r="QI39" s="301"/>
      <c r="QJ39" s="301"/>
      <c r="QK39" s="301"/>
      <c r="QL39" s="301"/>
      <c r="QM39" s="301"/>
      <c r="QN39" s="301"/>
      <c r="QO39" s="301"/>
      <c r="QP39" s="301"/>
      <c r="QQ39" s="301"/>
      <c r="QR39" s="301"/>
      <c r="QS39" s="301"/>
      <c r="QT39" s="301"/>
      <c r="QU39" s="301"/>
      <c r="QV39" s="301"/>
      <c r="QW39" s="301"/>
      <c r="QX39" s="301"/>
      <c r="QY39" s="301"/>
      <c r="QZ39" s="301"/>
      <c r="RA39" s="301"/>
      <c r="RB39" s="301"/>
      <c r="RC39" s="301"/>
      <c r="RD39" s="301"/>
      <c r="RE39" s="301"/>
      <c r="RF39" s="301"/>
      <c r="RG39" s="301"/>
      <c r="RH39" s="301"/>
      <c r="RI39" s="301"/>
      <c r="RJ39" s="301"/>
      <c r="RK39" s="301"/>
      <c r="RL39" s="301"/>
      <c r="RM39" s="301"/>
      <c r="RN39" s="301"/>
      <c r="RO39" s="301"/>
      <c r="RP39" s="301"/>
      <c r="RQ39" s="301"/>
      <c r="RR39" s="301"/>
      <c r="RS39" s="301"/>
      <c r="RT39" s="301"/>
      <c r="RU39" s="301"/>
      <c r="RV39" s="301"/>
      <c r="RW39" s="301"/>
      <c r="RX39" s="301"/>
      <c r="RY39" s="301"/>
      <c r="RZ39" s="301"/>
      <c r="SA39" s="301"/>
      <c r="SB39" s="301"/>
      <c r="SC39" s="301"/>
      <c r="SD39" s="301"/>
      <c r="SE39" s="301"/>
      <c r="SF39" s="301"/>
      <c r="SG39" s="301"/>
      <c r="SH39" s="301"/>
      <c r="SI39" s="301"/>
      <c r="SJ39" s="301"/>
      <c r="SK39" s="301"/>
      <c r="SL39" s="301"/>
      <c r="SM39" s="301"/>
      <c r="SN39" s="301"/>
      <c r="SO39" s="301"/>
      <c r="SP39" s="301"/>
      <c r="SQ39" s="301"/>
      <c r="SR39" s="301"/>
      <c r="SS39" s="301"/>
      <c r="ST39" s="301"/>
      <c r="SU39" s="301"/>
      <c r="SV39" s="301"/>
      <c r="SW39" s="301"/>
      <c r="SX39" s="301"/>
      <c r="SY39" s="301"/>
      <c r="SZ39" s="301"/>
      <c r="TA39" s="301"/>
      <c r="TB39" s="301"/>
      <c r="TC39" s="301"/>
      <c r="TD39" s="301"/>
      <c r="TE39" s="301"/>
      <c r="TF39" s="301"/>
      <c r="TG39" s="301"/>
      <c r="TH39" s="301"/>
      <c r="TI39" s="301"/>
      <c r="TJ39" s="301"/>
      <c r="TK39" s="301"/>
      <c r="TL39" s="301"/>
      <c r="TM39" s="301"/>
      <c r="TN39" s="301"/>
      <c r="TO39" s="301"/>
      <c r="TP39" s="301"/>
      <c r="TQ39" s="301"/>
      <c r="TR39" s="301"/>
      <c r="TS39" s="301"/>
      <c r="TT39" s="301"/>
      <c r="TU39" s="301"/>
      <c r="TV39" s="301"/>
      <c r="TW39" s="301"/>
      <c r="TX39" s="301"/>
      <c r="TY39" s="301"/>
      <c r="TZ39" s="301"/>
      <c r="UA39" s="301"/>
      <c r="UB39" s="301"/>
      <c r="UC39" s="301"/>
      <c r="UD39" s="301"/>
      <c r="UE39" s="301"/>
      <c r="UF39" s="301"/>
      <c r="UG39" s="301"/>
      <c r="UH39" s="301"/>
      <c r="UI39" s="301"/>
      <c r="UJ39" s="301"/>
      <c r="UK39" s="301"/>
      <c r="UL39" s="301"/>
      <c r="UM39" s="301"/>
      <c r="UN39" s="301"/>
      <c r="UO39" s="301"/>
      <c r="UP39" s="301"/>
      <c r="UQ39" s="301"/>
      <c r="UR39" s="301"/>
      <c r="US39" s="301"/>
      <c r="UT39" s="301"/>
      <c r="UU39" s="301"/>
      <c r="UV39" s="301"/>
      <c r="UW39" s="301"/>
      <c r="UX39" s="301"/>
      <c r="UY39" s="301"/>
      <c r="UZ39" s="301"/>
      <c r="VA39" s="301"/>
      <c r="VB39" s="301"/>
      <c r="VC39" s="301"/>
      <c r="VD39" s="301"/>
      <c r="VE39" s="301"/>
      <c r="VF39" s="301"/>
      <c r="VG39" s="301"/>
      <c r="VH39" s="301"/>
      <c r="VI39" s="301"/>
      <c r="VJ39" s="301"/>
      <c r="VK39" s="301"/>
      <c r="VL39" s="301"/>
      <c r="VM39" s="301"/>
      <c r="VN39" s="301"/>
      <c r="VO39" s="301"/>
      <c r="VP39" s="301"/>
      <c r="VQ39" s="301"/>
      <c r="VR39" s="301"/>
      <c r="VS39" s="301"/>
      <c r="VT39" s="301"/>
      <c r="VU39" s="301"/>
      <c r="VV39" s="301"/>
      <c r="VW39" s="301"/>
      <c r="VX39" s="301"/>
      <c r="VY39" s="301"/>
      <c r="VZ39" s="301"/>
      <c r="WA39" s="301"/>
      <c r="WB39" s="301"/>
      <c r="WC39" s="301"/>
      <c r="WD39" s="301"/>
      <c r="WE39" s="301"/>
      <c r="WF39" s="301"/>
      <c r="WG39" s="301"/>
      <c r="WH39" s="301"/>
      <c r="WI39" s="301"/>
      <c r="WJ39" s="301"/>
      <c r="WK39" s="301"/>
      <c r="WL39" s="301"/>
      <c r="WM39" s="301"/>
      <c r="WN39" s="301"/>
      <c r="WO39" s="301"/>
      <c r="WP39" s="301"/>
      <c r="WQ39" s="301"/>
      <c r="WR39" s="301"/>
      <c r="WS39" s="301"/>
      <c r="WT39" s="301"/>
      <c r="WU39" s="301"/>
      <c r="WV39" s="301"/>
      <c r="WW39" s="301"/>
      <c r="WX39" s="301"/>
      <c r="WY39" s="301"/>
      <c r="WZ39" s="301"/>
      <c r="XA39" s="301"/>
      <c r="XB39" s="301"/>
      <c r="XC39" s="301"/>
      <c r="XD39" s="301"/>
      <c r="XE39" s="301"/>
      <c r="XF39" s="301"/>
      <c r="XG39" s="301"/>
      <c r="XH39" s="301"/>
      <c r="XI39" s="301"/>
      <c r="XJ39" s="301"/>
      <c r="XK39" s="301"/>
      <c r="XL39" s="301"/>
      <c r="XM39" s="301"/>
      <c r="XN39" s="301"/>
      <c r="XO39" s="301"/>
      <c r="XP39" s="301"/>
      <c r="XQ39" s="301"/>
      <c r="XR39" s="301"/>
      <c r="XS39" s="301"/>
      <c r="XT39" s="301"/>
      <c r="XU39" s="301"/>
      <c r="XV39" s="301"/>
      <c r="XW39" s="301"/>
      <c r="XX39" s="301"/>
      <c r="XY39" s="301"/>
      <c r="XZ39" s="301"/>
      <c r="YA39" s="301"/>
      <c r="YB39" s="301"/>
      <c r="YC39" s="301"/>
      <c r="YD39" s="301"/>
      <c r="YE39" s="301"/>
      <c r="YF39" s="301"/>
      <c r="YG39" s="301"/>
      <c r="YH39" s="301"/>
      <c r="YI39" s="301"/>
      <c r="YJ39" s="301"/>
      <c r="YK39" s="301"/>
      <c r="YL39" s="301"/>
      <c r="YM39" s="301"/>
      <c r="YN39" s="301"/>
      <c r="YO39" s="301"/>
      <c r="YP39" s="301"/>
      <c r="YQ39" s="301"/>
      <c r="YR39" s="301"/>
      <c r="YS39" s="301"/>
      <c r="YT39" s="301"/>
      <c r="YU39" s="301"/>
      <c r="YV39" s="301"/>
      <c r="YW39" s="301"/>
      <c r="YX39" s="301"/>
      <c r="YY39" s="301"/>
      <c r="YZ39" s="301"/>
      <c r="ZA39" s="301"/>
      <c r="ZB39" s="301"/>
      <c r="ZC39" s="301"/>
      <c r="ZD39" s="301"/>
      <c r="ZE39" s="301"/>
      <c r="ZF39" s="301"/>
      <c r="ZG39" s="301"/>
      <c r="ZH39" s="301"/>
      <c r="ZI39" s="301"/>
      <c r="ZJ39" s="301"/>
      <c r="ZK39" s="301"/>
      <c r="ZL39" s="301"/>
      <c r="ZM39" s="301"/>
      <c r="ZN39" s="301"/>
      <c r="ZO39" s="301"/>
      <c r="ZP39" s="301"/>
      <c r="ZQ39" s="301"/>
      <c r="ZR39" s="301"/>
      <c r="ZS39" s="301"/>
      <c r="ZT39" s="301"/>
      <c r="ZU39" s="301"/>
      <c r="ZV39" s="301"/>
      <c r="ZW39" s="301"/>
      <c r="ZX39" s="301"/>
      <c r="ZY39" s="301"/>
      <c r="ZZ39" s="301"/>
      <c r="AAA39" s="301"/>
      <c r="AAB39" s="301"/>
      <c r="AAC39" s="301"/>
      <c r="AAD39" s="301"/>
      <c r="AAE39" s="301"/>
      <c r="AAF39" s="301"/>
      <c r="AAG39" s="301"/>
      <c r="AAH39" s="301"/>
      <c r="AAI39" s="301"/>
      <c r="AAJ39" s="301"/>
      <c r="AAK39" s="301"/>
      <c r="AAL39" s="301"/>
      <c r="AAM39" s="301"/>
      <c r="AAN39" s="301"/>
      <c r="AAO39" s="301"/>
      <c r="AAP39" s="301"/>
      <c r="AAQ39" s="301"/>
      <c r="AAR39" s="301"/>
      <c r="AAS39" s="301"/>
      <c r="AAT39" s="301"/>
      <c r="AAU39" s="301"/>
      <c r="AAV39" s="301"/>
      <c r="AAW39" s="301"/>
      <c r="AAX39" s="301"/>
      <c r="AAY39" s="301"/>
      <c r="AAZ39" s="301"/>
      <c r="ABA39" s="301"/>
      <c r="ABB39" s="301"/>
      <c r="ABC39" s="301"/>
      <c r="ABD39" s="301"/>
      <c r="ABE39" s="301"/>
      <c r="ABF39" s="301"/>
      <c r="ABG39" s="301"/>
      <c r="ABH39" s="301"/>
      <c r="ABI39" s="301"/>
      <c r="ABJ39" s="301"/>
      <c r="ABK39" s="301"/>
      <c r="ABL39" s="301"/>
      <c r="ABM39" s="301"/>
      <c r="ABN39" s="301"/>
      <c r="ABO39" s="301"/>
      <c r="ABP39" s="301"/>
      <c r="ABQ39" s="301"/>
      <c r="ABR39" s="301"/>
      <c r="ABS39" s="301"/>
      <c r="ABT39" s="301"/>
      <c r="ABU39" s="301"/>
      <c r="ABV39" s="301"/>
      <c r="ABW39" s="301"/>
      <c r="ABX39" s="301"/>
      <c r="ABY39" s="301"/>
      <c r="ABZ39" s="301"/>
      <c r="ACA39" s="301"/>
      <c r="ACB39" s="301"/>
      <c r="ACC39" s="301"/>
      <c r="ACD39" s="301"/>
      <c r="ACE39" s="301"/>
      <c r="ACF39" s="301"/>
      <c r="ACG39" s="301"/>
      <c r="ACH39" s="301"/>
      <c r="ACI39" s="301"/>
      <c r="ACJ39" s="301"/>
      <c r="ACK39" s="301"/>
      <c r="ACL39" s="301"/>
      <c r="ACM39" s="301"/>
      <c r="ACN39" s="301"/>
      <c r="ACO39" s="301"/>
      <c r="ACP39" s="301"/>
      <c r="ACQ39" s="301"/>
      <c r="ACR39" s="301"/>
      <c r="ACS39" s="301"/>
      <c r="ACT39" s="301"/>
      <c r="ACU39" s="301"/>
      <c r="ACV39" s="301"/>
      <c r="ACW39" s="301"/>
      <c r="ACX39" s="301"/>
      <c r="ACY39" s="301"/>
      <c r="ACZ39" s="301"/>
      <c r="ADA39" s="301"/>
      <c r="ADB39" s="301"/>
      <c r="ADC39" s="301"/>
      <c r="ADD39" s="301"/>
      <c r="ADE39" s="301"/>
      <c r="ADF39" s="301"/>
      <c r="ADG39" s="301"/>
      <c r="ADH39" s="301"/>
      <c r="ADI39" s="301"/>
      <c r="ADJ39" s="301"/>
      <c r="ADK39" s="301"/>
      <c r="ADL39" s="301"/>
      <c r="ADM39" s="301"/>
      <c r="ADN39" s="301"/>
      <c r="ADO39" s="301"/>
      <c r="ADP39" s="301"/>
      <c r="ADQ39" s="301"/>
      <c r="ADR39" s="301"/>
      <c r="ADS39" s="301"/>
      <c r="ADT39" s="301"/>
      <c r="ADU39" s="301"/>
      <c r="ADV39" s="301"/>
      <c r="ADW39" s="301"/>
      <c r="ADX39" s="301"/>
      <c r="ADY39" s="301"/>
      <c r="ADZ39" s="301"/>
      <c r="AEA39" s="301"/>
      <c r="AEB39" s="301"/>
      <c r="AEC39" s="301"/>
      <c r="AED39" s="301"/>
      <c r="AEE39" s="301"/>
      <c r="AEF39" s="301"/>
      <c r="AEG39" s="301"/>
      <c r="AEH39" s="301"/>
      <c r="AEI39" s="301"/>
      <c r="AEJ39" s="301"/>
      <c r="AEK39" s="301"/>
      <c r="AEL39" s="301"/>
      <c r="AEM39" s="301"/>
      <c r="AEN39" s="301"/>
      <c r="AEO39" s="301"/>
      <c r="AEP39" s="301"/>
      <c r="AEQ39" s="301"/>
      <c r="AER39" s="301"/>
      <c r="AES39" s="301"/>
      <c r="AET39" s="301"/>
      <c r="AEU39" s="301"/>
      <c r="AEV39" s="301"/>
      <c r="AEW39" s="301"/>
      <c r="AEX39" s="301"/>
      <c r="AEY39" s="301"/>
      <c r="AEZ39" s="301"/>
      <c r="AFA39" s="301"/>
      <c r="AFB39" s="301"/>
      <c r="AFC39" s="301"/>
      <c r="AFD39" s="301"/>
      <c r="AFE39" s="301"/>
      <c r="AFF39" s="301"/>
      <c r="AFG39" s="301"/>
      <c r="AFH39" s="301"/>
      <c r="AFI39" s="301"/>
      <c r="AFJ39" s="301"/>
      <c r="AFK39" s="301"/>
      <c r="AFL39" s="301"/>
      <c r="AFM39" s="301"/>
      <c r="AFN39" s="301"/>
      <c r="AFO39" s="301"/>
      <c r="AFP39" s="301"/>
      <c r="AFQ39" s="301"/>
      <c r="AFR39" s="301"/>
      <c r="AFS39" s="301"/>
      <c r="AFT39" s="301"/>
      <c r="AFU39" s="301"/>
      <c r="AFV39" s="301"/>
      <c r="AFW39" s="301"/>
      <c r="AFX39" s="301"/>
      <c r="AFY39" s="301"/>
      <c r="AFZ39" s="301"/>
      <c r="AGA39" s="301"/>
      <c r="AGB39" s="301"/>
      <c r="AGC39" s="301"/>
      <c r="AGD39" s="301"/>
      <c r="AGE39" s="301"/>
      <c r="AGF39" s="301"/>
      <c r="AGG39" s="301"/>
      <c r="AGH39" s="301"/>
      <c r="AGI39" s="301"/>
      <c r="AGJ39" s="301"/>
      <c r="AGK39" s="301"/>
      <c r="AGL39" s="301"/>
      <c r="AGM39" s="301"/>
      <c r="AGN39" s="301"/>
      <c r="AGO39" s="301"/>
      <c r="AGP39" s="301"/>
      <c r="AGQ39" s="301"/>
      <c r="AGR39" s="301"/>
      <c r="AGS39" s="301"/>
      <c r="AGT39" s="301"/>
      <c r="AGU39" s="301"/>
      <c r="AGV39" s="301"/>
      <c r="AGW39" s="301"/>
      <c r="AGX39" s="301"/>
      <c r="AGY39" s="301"/>
      <c r="AGZ39" s="301"/>
      <c r="AHA39" s="301"/>
      <c r="AHB39" s="301"/>
      <c r="AHC39" s="301"/>
      <c r="AHD39" s="301"/>
      <c r="AHE39" s="301"/>
      <c r="AHF39" s="301"/>
      <c r="AHG39" s="301"/>
      <c r="AHH39" s="301"/>
      <c r="AHI39" s="301"/>
      <c r="AHJ39" s="301"/>
      <c r="AHK39" s="301"/>
      <c r="AHL39" s="301"/>
      <c r="AHM39" s="301"/>
      <c r="AHN39" s="301"/>
      <c r="AHO39" s="301"/>
      <c r="AHP39" s="301"/>
      <c r="AHQ39" s="301"/>
      <c r="AHR39" s="301"/>
      <c r="AHS39" s="301"/>
      <c r="AHT39" s="301"/>
      <c r="AHU39" s="301"/>
      <c r="AHV39" s="301"/>
      <c r="AHW39" s="301"/>
      <c r="AHX39" s="301"/>
      <c r="AHY39" s="301"/>
      <c r="AHZ39" s="301"/>
      <c r="AIA39" s="301"/>
      <c r="AIB39" s="301"/>
      <c r="AIC39" s="301"/>
      <c r="AID39" s="301"/>
      <c r="AIE39" s="301"/>
      <c r="AIF39" s="301"/>
      <c r="AIG39" s="301"/>
      <c r="AIH39" s="301"/>
      <c r="AII39" s="301"/>
      <c r="AIJ39" s="301"/>
      <c r="AIK39" s="301"/>
      <c r="AIL39" s="301"/>
      <c r="AIM39" s="301"/>
      <c r="AIN39" s="301"/>
      <c r="AIO39" s="301"/>
      <c r="AIP39" s="301"/>
      <c r="AIQ39" s="301"/>
      <c r="AIR39" s="301"/>
      <c r="AIS39" s="301"/>
      <c r="AIT39" s="301"/>
      <c r="AIU39" s="301"/>
      <c r="AIV39" s="301"/>
      <c r="AIW39" s="301"/>
      <c r="AIX39" s="301"/>
      <c r="AIY39" s="301"/>
      <c r="AIZ39" s="301"/>
      <c r="AJA39" s="301"/>
      <c r="AJB39" s="301"/>
      <c r="AJC39" s="301"/>
      <c r="AJD39" s="301"/>
      <c r="AJE39" s="301"/>
      <c r="AJF39" s="301"/>
      <c r="AJG39" s="301"/>
      <c r="AJH39" s="301"/>
      <c r="AJI39" s="301"/>
      <c r="AJJ39" s="301"/>
      <c r="AJK39" s="301"/>
      <c r="AJL39" s="301"/>
      <c r="AJM39" s="301"/>
      <c r="AJN39" s="301"/>
      <c r="AJO39" s="301"/>
      <c r="AJP39" s="301"/>
      <c r="AJQ39" s="301"/>
      <c r="AJR39" s="301"/>
      <c r="AJS39" s="301"/>
      <c r="AJT39" s="301"/>
      <c r="AJU39" s="301"/>
      <c r="AJV39" s="301"/>
      <c r="AJW39" s="301"/>
      <c r="AJX39" s="301"/>
      <c r="AJY39" s="301"/>
      <c r="AJZ39" s="301"/>
      <c r="AKA39" s="301"/>
      <c r="AKB39" s="301"/>
      <c r="AKC39" s="301"/>
      <c r="AKD39" s="301"/>
      <c r="AKE39" s="301"/>
      <c r="AKF39" s="301"/>
      <c r="AKG39" s="301"/>
      <c r="AKH39" s="301"/>
      <c r="AKI39" s="301"/>
      <c r="AKJ39" s="301"/>
      <c r="AKK39" s="301"/>
      <c r="AKL39" s="301"/>
      <c r="AKM39" s="301"/>
      <c r="AKN39" s="301"/>
      <c r="AKO39" s="301"/>
      <c r="AKP39" s="301"/>
      <c r="AKQ39" s="301"/>
      <c r="AKR39" s="301"/>
      <c r="AKS39" s="301"/>
      <c r="AKT39" s="301"/>
      <c r="AKU39" s="301"/>
      <c r="AKV39" s="301"/>
      <c r="AKW39" s="301"/>
      <c r="AKX39" s="301"/>
      <c r="AKY39" s="301"/>
      <c r="AKZ39" s="301"/>
      <c r="ALA39" s="301"/>
      <c r="ALB39" s="301"/>
      <c r="ALC39" s="301"/>
      <c r="ALD39" s="301"/>
      <c r="ALE39" s="301"/>
      <c r="ALF39" s="301"/>
      <c r="ALG39" s="301"/>
      <c r="ALH39" s="301"/>
      <c r="ALI39" s="301"/>
      <c r="ALJ39" s="301"/>
      <c r="ALK39" s="301"/>
      <c r="ALL39" s="301"/>
      <c r="ALM39" s="301"/>
      <c r="ALN39" s="301"/>
      <c r="ALO39" s="301"/>
      <c r="ALP39" s="301"/>
      <c r="ALQ39" s="301"/>
      <c r="ALR39" s="301"/>
      <c r="ALS39" s="301"/>
      <c r="ALT39" s="301"/>
      <c r="ALU39" s="301"/>
      <c r="ALV39" s="301"/>
      <c r="ALW39" s="301"/>
      <c r="ALX39" s="301"/>
      <c r="ALY39" s="301"/>
      <c r="ALZ39" s="301"/>
      <c r="AMA39" s="301"/>
      <c r="AMB39" s="301"/>
      <c r="AMC39" s="301"/>
      <c r="AMD39" s="301"/>
      <c r="AME39" s="301"/>
      <c r="AMF39" s="301"/>
      <c r="AMG39" s="301"/>
      <c r="AMH39" s="301"/>
      <c r="AMI39" s="301"/>
      <c r="AMJ39" s="301"/>
    </row>
    <row r="41" customFormat="false" ht="12.8" hidden="false" customHeight="false" outlineLevel="0" collapsed="false">
      <c r="A41" s="294" t="s">
        <v>217</v>
      </c>
      <c r="B41" s="295"/>
      <c r="C41" s="295"/>
      <c r="D41" s="295"/>
      <c r="E41" s="295"/>
      <c r="F41" s="295"/>
      <c r="G41" s="295"/>
      <c r="H41" s="295"/>
      <c r="I41" s="295"/>
      <c r="J41" s="295"/>
      <c r="K41" s="295"/>
      <c r="L41" s="296"/>
      <c r="M41" s="296"/>
      <c r="N41" s="296"/>
      <c r="O41" s="296"/>
      <c r="P41" s="296"/>
      <c r="Q41" s="296"/>
      <c r="R41" s="296"/>
      <c r="S41" s="296"/>
      <c r="T41" s="296"/>
      <c r="U41" s="296"/>
      <c r="V41" s="296"/>
      <c r="W41" s="296"/>
      <c r="X41" s="296"/>
      <c r="Y41" s="296"/>
      <c r="Z41" s="296"/>
      <c r="AA41" s="296"/>
      <c r="AB41" s="296"/>
      <c r="AC41" s="296"/>
      <c r="AD41" s="296"/>
      <c r="AE41" s="296"/>
      <c r="AF41" s="296"/>
      <c r="AG41" s="296"/>
      <c r="AH41" s="296"/>
      <c r="AI41" s="296"/>
      <c r="AJ41" s="296"/>
      <c r="AK41" s="296"/>
      <c r="AL41" s="296"/>
      <c r="AM41" s="296"/>
      <c r="AN41" s="296"/>
      <c r="AO41" s="296"/>
      <c r="AP41" s="296"/>
      <c r="AQ41" s="296"/>
      <c r="AR41" s="296"/>
      <c r="AS41" s="296"/>
      <c r="AT41" s="296"/>
      <c r="AU41" s="296"/>
      <c r="AV41" s="296"/>
      <c r="AW41" s="296"/>
      <c r="AX41" s="296"/>
      <c r="AY41" s="296"/>
      <c r="AZ41" s="296"/>
      <c r="BA41" s="296"/>
      <c r="BB41" s="296"/>
      <c r="BC41" s="296"/>
      <c r="BD41" s="296"/>
      <c r="BE41" s="296"/>
      <c r="BF41" s="296"/>
      <c r="BG41" s="296"/>
      <c r="BH41" s="296"/>
      <c r="BI41" s="296"/>
      <c r="BJ41" s="296"/>
      <c r="BK41" s="296"/>
      <c r="BL41" s="296"/>
      <c r="BM41" s="296"/>
      <c r="BN41" s="296"/>
      <c r="BO41" s="296"/>
      <c r="BP41" s="296"/>
      <c r="BQ41" s="296"/>
      <c r="BR41" s="296"/>
      <c r="BS41" s="296"/>
      <c r="BT41" s="296"/>
      <c r="BU41" s="296"/>
      <c r="BV41" s="296"/>
      <c r="BW41" s="296"/>
      <c r="BX41" s="296"/>
      <c r="BY41" s="296"/>
      <c r="BZ41" s="296"/>
      <c r="CA41" s="296"/>
      <c r="CB41" s="296"/>
      <c r="CC41" s="296"/>
      <c r="CD41" s="296"/>
      <c r="CE41" s="296"/>
      <c r="CF41" s="296"/>
      <c r="CG41" s="296"/>
      <c r="CH41" s="296"/>
      <c r="CI41" s="296"/>
      <c r="CJ41" s="296"/>
      <c r="CK41" s="296"/>
      <c r="CL41" s="296"/>
      <c r="CM41" s="296"/>
      <c r="CN41" s="296"/>
      <c r="CO41" s="296"/>
      <c r="CP41" s="296"/>
      <c r="CQ41" s="296"/>
      <c r="CR41" s="296"/>
      <c r="CS41" s="296"/>
      <c r="CT41" s="296"/>
      <c r="CU41" s="296"/>
      <c r="CV41" s="296"/>
      <c r="CW41" s="296"/>
      <c r="CX41" s="296"/>
      <c r="CY41" s="296"/>
      <c r="CZ41" s="296"/>
      <c r="DA41" s="296"/>
      <c r="DB41" s="296"/>
      <c r="DC41" s="296"/>
      <c r="DD41" s="296"/>
      <c r="DE41" s="296"/>
      <c r="DF41" s="296"/>
      <c r="DG41" s="296"/>
      <c r="DH41" s="296"/>
      <c r="DI41" s="296"/>
      <c r="DJ41" s="296"/>
      <c r="DK41" s="296"/>
      <c r="DL41" s="296"/>
      <c r="DM41" s="296"/>
      <c r="DN41" s="296"/>
      <c r="DO41" s="296"/>
      <c r="DP41" s="296"/>
      <c r="DQ41" s="296"/>
      <c r="DR41" s="296"/>
      <c r="DS41" s="296"/>
      <c r="DT41" s="296"/>
      <c r="DU41" s="296"/>
      <c r="DV41" s="296"/>
      <c r="DW41" s="296"/>
      <c r="DX41" s="296"/>
      <c r="DY41" s="296"/>
      <c r="DZ41" s="296"/>
      <c r="EA41" s="296"/>
      <c r="EB41" s="296"/>
      <c r="EC41" s="296"/>
      <c r="ED41" s="296"/>
      <c r="EE41" s="296"/>
      <c r="EF41" s="296"/>
      <c r="EG41" s="296"/>
      <c r="EH41" s="296"/>
      <c r="EI41" s="296"/>
      <c r="EJ41" s="296"/>
      <c r="EK41" s="296"/>
      <c r="EL41" s="296"/>
      <c r="EM41" s="296"/>
      <c r="EN41" s="296"/>
      <c r="EO41" s="296"/>
      <c r="EP41" s="296"/>
      <c r="EQ41" s="296"/>
      <c r="ER41" s="296"/>
      <c r="ES41" s="296"/>
      <c r="ET41" s="296"/>
      <c r="EU41" s="296"/>
      <c r="EV41" s="296"/>
      <c r="EW41" s="296"/>
      <c r="EX41" s="296"/>
      <c r="EY41" s="296"/>
      <c r="EZ41" s="296"/>
      <c r="FA41" s="296"/>
      <c r="FB41" s="296"/>
      <c r="FC41" s="296"/>
      <c r="FD41" s="296"/>
      <c r="FE41" s="296"/>
      <c r="FF41" s="296"/>
      <c r="FG41" s="296"/>
      <c r="FH41" s="296"/>
      <c r="FI41" s="296"/>
      <c r="FJ41" s="296"/>
      <c r="FK41" s="296"/>
      <c r="FL41" s="296"/>
      <c r="FM41" s="296"/>
      <c r="FN41" s="296"/>
      <c r="FO41" s="296"/>
      <c r="FP41" s="296"/>
      <c r="FQ41" s="296"/>
      <c r="FR41" s="296"/>
      <c r="FS41" s="296"/>
      <c r="FT41" s="296"/>
      <c r="FU41" s="296"/>
      <c r="FV41" s="296"/>
      <c r="FW41" s="296"/>
      <c r="FX41" s="296"/>
      <c r="FY41" s="296"/>
      <c r="FZ41" s="296"/>
      <c r="GA41" s="296"/>
      <c r="GB41" s="296"/>
      <c r="GC41" s="296"/>
      <c r="GD41" s="296"/>
      <c r="GE41" s="296"/>
      <c r="GF41" s="296"/>
      <c r="GG41" s="296"/>
      <c r="GH41" s="296"/>
      <c r="GI41" s="296"/>
      <c r="GJ41" s="296"/>
      <c r="GK41" s="296"/>
      <c r="GL41" s="296"/>
      <c r="GM41" s="296"/>
      <c r="GN41" s="296"/>
      <c r="GO41" s="296"/>
      <c r="GP41" s="296"/>
      <c r="GQ41" s="296"/>
      <c r="GR41" s="296"/>
      <c r="GS41" s="296"/>
      <c r="GT41" s="296"/>
      <c r="GU41" s="296"/>
      <c r="GV41" s="296"/>
      <c r="GW41" s="296"/>
      <c r="GX41" s="296"/>
      <c r="GY41" s="296"/>
      <c r="GZ41" s="296"/>
      <c r="HA41" s="296"/>
      <c r="HB41" s="296"/>
      <c r="HC41" s="296"/>
      <c r="HD41" s="296"/>
      <c r="HE41" s="296"/>
      <c r="HF41" s="296"/>
      <c r="HG41" s="296"/>
      <c r="HH41" s="296"/>
      <c r="HI41" s="296"/>
      <c r="HJ41" s="296"/>
      <c r="HK41" s="296"/>
      <c r="HL41" s="296"/>
      <c r="HM41" s="296"/>
      <c r="HN41" s="296"/>
      <c r="HO41" s="296"/>
      <c r="HP41" s="296"/>
      <c r="HQ41" s="296"/>
      <c r="HR41" s="296"/>
      <c r="HS41" s="296"/>
      <c r="HT41" s="296"/>
      <c r="HU41" s="296"/>
      <c r="HV41" s="296"/>
      <c r="HW41" s="296"/>
      <c r="HX41" s="296"/>
      <c r="HY41" s="296"/>
      <c r="HZ41" s="296"/>
      <c r="IA41" s="296"/>
      <c r="IB41" s="296"/>
      <c r="IC41" s="296"/>
      <c r="ID41" s="296"/>
      <c r="IE41" s="296"/>
      <c r="IF41" s="296"/>
      <c r="IG41" s="296"/>
      <c r="IH41" s="296"/>
      <c r="II41" s="296"/>
      <c r="IJ41" s="296"/>
      <c r="IK41" s="296"/>
      <c r="IL41" s="296"/>
      <c r="IM41" s="296"/>
      <c r="IN41" s="296"/>
      <c r="IO41" s="296"/>
      <c r="IP41" s="296"/>
      <c r="IQ41" s="296"/>
      <c r="IR41" s="296"/>
      <c r="IS41" s="296"/>
      <c r="IT41" s="296"/>
      <c r="IU41" s="296"/>
      <c r="IV41" s="296"/>
      <c r="IW41" s="296"/>
      <c r="IX41" s="296"/>
      <c r="IY41" s="296"/>
      <c r="IZ41" s="296"/>
      <c r="JA41" s="296"/>
      <c r="JB41" s="296"/>
      <c r="JC41" s="296"/>
      <c r="JD41" s="296"/>
      <c r="JE41" s="296"/>
      <c r="JF41" s="296"/>
      <c r="JG41" s="296"/>
      <c r="JH41" s="296"/>
      <c r="JI41" s="296"/>
      <c r="JJ41" s="296"/>
      <c r="JK41" s="296"/>
      <c r="JL41" s="296"/>
      <c r="JM41" s="296"/>
      <c r="JN41" s="296"/>
      <c r="JO41" s="296"/>
      <c r="JP41" s="296"/>
      <c r="JQ41" s="296"/>
      <c r="JR41" s="296"/>
      <c r="JS41" s="296"/>
      <c r="JT41" s="296"/>
      <c r="JU41" s="296"/>
      <c r="JV41" s="296"/>
      <c r="JW41" s="296"/>
      <c r="JX41" s="296"/>
      <c r="JY41" s="296"/>
      <c r="JZ41" s="296"/>
      <c r="KA41" s="296"/>
      <c r="KB41" s="296"/>
      <c r="KC41" s="296"/>
      <c r="KD41" s="296"/>
      <c r="KE41" s="296"/>
      <c r="KF41" s="296"/>
      <c r="KG41" s="296"/>
      <c r="KH41" s="296"/>
      <c r="KI41" s="296"/>
      <c r="KJ41" s="296"/>
      <c r="KK41" s="296"/>
      <c r="KL41" s="296"/>
      <c r="KM41" s="296"/>
      <c r="KN41" s="296"/>
      <c r="KO41" s="296"/>
      <c r="KP41" s="296"/>
      <c r="KQ41" s="296"/>
      <c r="KR41" s="296"/>
      <c r="KS41" s="296"/>
      <c r="KT41" s="296"/>
      <c r="KU41" s="296"/>
      <c r="KV41" s="296"/>
      <c r="KW41" s="296"/>
      <c r="KX41" s="296"/>
      <c r="KY41" s="296"/>
      <c r="KZ41" s="296"/>
      <c r="LA41" s="296"/>
      <c r="LB41" s="296"/>
      <c r="LC41" s="296"/>
      <c r="LD41" s="296"/>
      <c r="LE41" s="296"/>
      <c r="LF41" s="296"/>
      <c r="LG41" s="296"/>
      <c r="LH41" s="296"/>
      <c r="LI41" s="296"/>
      <c r="LJ41" s="296"/>
      <c r="LK41" s="296"/>
      <c r="LL41" s="296"/>
      <c r="LM41" s="296"/>
      <c r="LN41" s="296"/>
      <c r="LO41" s="296"/>
      <c r="LP41" s="296"/>
      <c r="LQ41" s="296"/>
      <c r="LR41" s="296"/>
      <c r="LS41" s="296"/>
      <c r="LT41" s="296"/>
      <c r="LU41" s="296"/>
      <c r="LV41" s="296"/>
      <c r="LW41" s="296"/>
      <c r="LX41" s="296"/>
      <c r="LY41" s="296"/>
      <c r="LZ41" s="296"/>
      <c r="MA41" s="296"/>
      <c r="MB41" s="296"/>
      <c r="MC41" s="296"/>
      <c r="MD41" s="296"/>
      <c r="ME41" s="296"/>
      <c r="MF41" s="296"/>
      <c r="MG41" s="296"/>
      <c r="MH41" s="296"/>
      <c r="MI41" s="296"/>
      <c r="MJ41" s="296"/>
      <c r="MK41" s="296"/>
      <c r="ML41" s="296"/>
      <c r="MM41" s="296"/>
      <c r="MN41" s="296"/>
      <c r="MO41" s="296"/>
      <c r="MP41" s="296"/>
      <c r="MQ41" s="296"/>
      <c r="MR41" s="296"/>
      <c r="MS41" s="296"/>
      <c r="MT41" s="296"/>
      <c r="MU41" s="296"/>
      <c r="MV41" s="296"/>
      <c r="MW41" s="296"/>
      <c r="MX41" s="296"/>
      <c r="MY41" s="296"/>
      <c r="MZ41" s="296"/>
      <c r="NA41" s="296"/>
      <c r="NB41" s="296"/>
      <c r="NC41" s="296"/>
      <c r="ND41" s="296"/>
      <c r="NE41" s="296"/>
      <c r="NF41" s="296"/>
      <c r="NG41" s="296"/>
      <c r="NH41" s="296"/>
      <c r="NI41" s="296"/>
      <c r="NJ41" s="296"/>
      <c r="NK41" s="296"/>
      <c r="NL41" s="296"/>
      <c r="NM41" s="296"/>
      <c r="NN41" s="296"/>
      <c r="NO41" s="296"/>
      <c r="NP41" s="296"/>
      <c r="NQ41" s="296"/>
      <c r="NR41" s="296"/>
      <c r="NS41" s="296"/>
      <c r="NT41" s="296"/>
      <c r="NU41" s="296"/>
      <c r="NV41" s="296"/>
      <c r="NW41" s="296"/>
      <c r="NX41" s="296"/>
      <c r="NY41" s="296"/>
      <c r="NZ41" s="296"/>
      <c r="OA41" s="296"/>
      <c r="OB41" s="296"/>
      <c r="OC41" s="296"/>
      <c r="OD41" s="296"/>
      <c r="OE41" s="296"/>
      <c r="OF41" s="296"/>
      <c r="OG41" s="296"/>
      <c r="OH41" s="296"/>
      <c r="OI41" s="296"/>
      <c r="OJ41" s="296"/>
      <c r="OK41" s="296"/>
      <c r="OL41" s="296"/>
      <c r="OM41" s="296"/>
      <c r="ON41" s="296"/>
      <c r="OO41" s="296"/>
      <c r="OP41" s="296"/>
      <c r="OQ41" s="296"/>
      <c r="OR41" s="296"/>
      <c r="OS41" s="296"/>
      <c r="OT41" s="296"/>
      <c r="OU41" s="296"/>
      <c r="OV41" s="296"/>
      <c r="OW41" s="296"/>
      <c r="OX41" s="296"/>
      <c r="OY41" s="296"/>
      <c r="OZ41" s="296"/>
      <c r="PA41" s="296"/>
      <c r="PB41" s="296"/>
      <c r="PC41" s="296"/>
      <c r="PD41" s="296"/>
      <c r="PE41" s="296"/>
      <c r="PF41" s="296"/>
      <c r="PG41" s="296"/>
      <c r="PH41" s="296"/>
      <c r="PI41" s="296"/>
      <c r="PJ41" s="296"/>
      <c r="PK41" s="296"/>
      <c r="PL41" s="296"/>
      <c r="PM41" s="296"/>
      <c r="PN41" s="296"/>
      <c r="PO41" s="296"/>
      <c r="PP41" s="296"/>
      <c r="PQ41" s="296"/>
      <c r="PR41" s="296"/>
      <c r="PS41" s="296"/>
      <c r="PT41" s="296"/>
      <c r="PU41" s="296"/>
      <c r="PV41" s="296"/>
      <c r="PW41" s="296"/>
      <c r="PX41" s="296"/>
      <c r="PY41" s="296"/>
      <c r="PZ41" s="296"/>
      <c r="QA41" s="296"/>
      <c r="QB41" s="296"/>
      <c r="QC41" s="296"/>
      <c r="QD41" s="296"/>
      <c r="QE41" s="296"/>
      <c r="QF41" s="296"/>
      <c r="QG41" s="296"/>
      <c r="QH41" s="296"/>
      <c r="QI41" s="296"/>
      <c r="QJ41" s="296"/>
      <c r="QK41" s="296"/>
      <c r="QL41" s="296"/>
      <c r="QM41" s="296"/>
      <c r="QN41" s="296"/>
      <c r="QO41" s="296"/>
      <c r="QP41" s="296"/>
      <c r="QQ41" s="296"/>
      <c r="QR41" s="296"/>
      <c r="QS41" s="296"/>
      <c r="QT41" s="296"/>
      <c r="QU41" s="296"/>
      <c r="QV41" s="296"/>
      <c r="QW41" s="296"/>
      <c r="QX41" s="296"/>
      <c r="QY41" s="296"/>
      <c r="QZ41" s="296"/>
      <c r="RA41" s="296"/>
      <c r="RB41" s="296"/>
      <c r="RC41" s="296"/>
      <c r="RD41" s="296"/>
      <c r="RE41" s="296"/>
      <c r="RF41" s="296"/>
      <c r="RG41" s="296"/>
      <c r="RH41" s="296"/>
      <c r="RI41" s="296"/>
      <c r="RJ41" s="296"/>
      <c r="RK41" s="296"/>
      <c r="RL41" s="296"/>
      <c r="RM41" s="296"/>
      <c r="RN41" s="296"/>
      <c r="RO41" s="296"/>
      <c r="RP41" s="296"/>
      <c r="RQ41" s="296"/>
      <c r="RR41" s="296"/>
      <c r="RS41" s="296"/>
      <c r="RT41" s="296"/>
      <c r="RU41" s="296"/>
      <c r="RV41" s="296"/>
      <c r="RW41" s="296"/>
      <c r="RX41" s="296"/>
      <c r="RY41" s="296"/>
      <c r="RZ41" s="296"/>
      <c r="SA41" s="296"/>
      <c r="SB41" s="296"/>
      <c r="SC41" s="296"/>
      <c r="SD41" s="296"/>
      <c r="SE41" s="296"/>
      <c r="SF41" s="296"/>
      <c r="SG41" s="296"/>
      <c r="SH41" s="296"/>
      <c r="SI41" s="296"/>
      <c r="SJ41" s="296"/>
      <c r="SK41" s="296"/>
      <c r="SL41" s="296"/>
      <c r="SM41" s="296"/>
      <c r="SN41" s="296"/>
      <c r="SO41" s="296"/>
      <c r="SP41" s="296"/>
      <c r="SQ41" s="296"/>
      <c r="SR41" s="296"/>
      <c r="SS41" s="296"/>
      <c r="ST41" s="296"/>
      <c r="SU41" s="296"/>
      <c r="SV41" s="296"/>
      <c r="SW41" s="296"/>
      <c r="SX41" s="296"/>
      <c r="SY41" s="296"/>
      <c r="SZ41" s="296"/>
      <c r="TA41" s="296"/>
      <c r="TB41" s="296"/>
      <c r="TC41" s="296"/>
      <c r="TD41" s="296"/>
      <c r="TE41" s="296"/>
      <c r="TF41" s="296"/>
      <c r="TG41" s="296"/>
      <c r="TH41" s="296"/>
      <c r="TI41" s="296"/>
      <c r="TJ41" s="296"/>
      <c r="TK41" s="296"/>
      <c r="TL41" s="296"/>
      <c r="TM41" s="296"/>
      <c r="TN41" s="296"/>
      <c r="TO41" s="296"/>
      <c r="TP41" s="296"/>
      <c r="TQ41" s="296"/>
      <c r="TR41" s="296"/>
      <c r="TS41" s="296"/>
      <c r="TT41" s="296"/>
      <c r="TU41" s="296"/>
      <c r="TV41" s="296"/>
      <c r="TW41" s="296"/>
      <c r="TX41" s="296"/>
      <c r="TY41" s="296"/>
      <c r="TZ41" s="296"/>
      <c r="UA41" s="296"/>
      <c r="UB41" s="296"/>
      <c r="UC41" s="296"/>
      <c r="UD41" s="296"/>
      <c r="UE41" s="296"/>
      <c r="UF41" s="296"/>
      <c r="UG41" s="296"/>
      <c r="UH41" s="296"/>
      <c r="UI41" s="296"/>
      <c r="UJ41" s="296"/>
      <c r="UK41" s="296"/>
      <c r="UL41" s="296"/>
      <c r="UM41" s="296"/>
      <c r="UN41" s="296"/>
      <c r="UO41" s="296"/>
      <c r="UP41" s="296"/>
      <c r="UQ41" s="296"/>
      <c r="UR41" s="296"/>
      <c r="US41" s="296"/>
      <c r="UT41" s="296"/>
      <c r="UU41" s="296"/>
      <c r="UV41" s="296"/>
      <c r="UW41" s="296"/>
      <c r="UX41" s="296"/>
      <c r="UY41" s="296"/>
      <c r="UZ41" s="296"/>
      <c r="VA41" s="296"/>
      <c r="VB41" s="296"/>
      <c r="VC41" s="296"/>
      <c r="VD41" s="296"/>
      <c r="VE41" s="296"/>
      <c r="VF41" s="296"/>
      <c r="VG41" s="296"/>
      <c r="VH41" s="296"/>
      <c r="VI41" s="296"/>
      <c r="VJ41" s="296"/>
      <c r="VK41" s="296"/>
      <c r="VL41" s="296"/>
      <c r="VM41" s="296"/>
      <c r="VN41" s="296"/>
      <c r="VO41" s="296"/>
      <c r="VP41" s="296"/>
      <c r="VQ41" s="296"/>
      <c r="VR41" s="296"/>
      <c r="VS41" s="296"/>
      <c r="VT41" s="296"/>
      <c r="VU41" s="296"/>
      <c r="VV41" s="296"/>
      <c r="VW41" s="296"/>
      <c r="VX41" s="296"/>
      <c r="VY41" s="296"/>
      <c r="VZ41" s="296"/>
      <c r="WA41" s="296"/>
      <c r="WB41" s="296"/>
      <c r="WC41" s="296"/>
      <c r="WD41" s="296"/>
      <c r="WE41" s="296"/>
      <c r="WF41" s="296"/>
      <c r="WG41" s="296"/>
      <c r="WH41" s="296"/>
      <c r="WI41" s="296"/>
      <c r="WJ41" s="296"/>
      <c r="WK41" s="296"/>
      <c r="WL41" s="296"/>
      <c r="WM41" s="296"/>
      <c r="WN41" s="296"/>
      <c r="WO41" s="296"/>
      <c r="WP41" s="296"/>
      <c r="WQ41" s="296"/>
      <c r="WR41" s="296"/>
      <c r="WS41" s="296"/>
      <c r="WT41" s="296"/>
      <c r="WU41" s="296"/>
      <c r="WV41" s="296"/>
      <c r="WW41" s="296"/>
      <c r="WX41" s="296"/>
      <c r="WY41" s="296"/>
      <c r="WZ41" s="296"/>
      <c r="XA41" s="296"/>
      <c r="XB41" s="296"/>
      <c r="XC41" s="296"/>
      <c r="XD41" s="296"/>
      <c r="XE41" s="296"/>
      <c r="XF41" s="296"/>
      <c r="XG41" s="296"/>
      <c r="XH41" s="296"/>
      <c r="XI41" s="296"/>
      <c r="XJ41" s="296"/>
      <c r="XK41" s="296"/>
      <c r="XL41" s="296"/>
      <c r="XM41" s="296"/>
      <c r="XN41" s="296"/>
      <c r="XO41" s="296"/>
      <c r="XP41" s="296"/>
      <c r="XQ41" s="296"/>
      <c r="XR41" s="296"/>
      <c r="XS41" s="296"/>
      <c r="XT41" s="296"/>
      <c r="XU41" s="296"/>
      <c r="XV41" s="296"/>
      <c r="XW41" s="296"/>
      <c r="XX41" s="296"/>
      <c r="XY41" s="296"/>
      <c r="XZ41" s="296"/>
      <c r="YA41" s="296"/>
      <c r="YB41" s="296"/>
      <c r="YC41" s="296"/>
      <c r="YD41" s="296"/>
      <c r="YE41" s="296"/>
      <c r="YF41" s="296"/>
      <c r="YG41" s="296"/>
      <c r="YH41" s="296"/>
      <c r="YI41" s="296"/>
      <c r="YJ41" s="296"/>
      <c r="YK41" s="296"/>
      <c r="YL41" s="296"/>
      <c r="YM41" s="296"/>
      <c r="YN41" s="296"/>
      <c r="YO41" s="296"/>
      <c r="YP41" s="296"/>
      <c r="YQ41" s="296"/>
      <c r="YR41" s="296"/>
      <c r="YS41" s="296"/>
      <c r="YT41" s="296"/>
      <c r="YU41" s="296"/>
      <c r="YV41" s="296"/>
      <c r="YW41" s="296"/>
      <c r="YX41" s="296"/>
      <c r="YY41" s="296"/>
      <c r="YZ41" s="296"/>
      <c r="ZA41" s="296"/>
      <c r="ZB41" s="296"/>
      <c r="ZC41" s="296"/>
      <c r="ZD41" s="296"/>
      <c r="ZE41" s="296"/>
      <c r="ZF41" s="296"/>
      <c r="ZG41" s="296"/>
      <c r="ZH41" s="296"/>
      <c r="ZI41" s="296"/>
      <c r="ZJ41" s="296"/>
      <c r="ZK41" s="296"/>
      <c r="ZL41" s="296"/>
      <c r="ZM41" s="296"/>
      <c r="ZN41" s="296"/>
      <c r="ZO41" s="296"/>
      <c r="ZP41" s="296"/>
      <c r="ZQ41" s="296"/>
      <c r="ZR41" s="296"/>
      <c r="ZS41" s="296"/>
      <c r="ZT41" s="296"/>
      <c r="ZU41" s="296"/>
      <c r="ZV41" s="296"/>
      <c r="ZW41" s="296"/>
      <c r="ZX41" s="296"/>
      <c r="ZY41" s="296"/>
      <c r="ZZ41" s="296"/>
      <c r="AAA41" s="296"/>
      <c r="AAB41" s="296"/>
      <c r="AAC41" s="296"/>
      <c r="AAD41" s="296"/>
      <c r="AAE41" s="296"/>
      <c r="AAF41" s="296"/>
      <c r="AAG41" s="296"/>
      <c r="AAH41" s="296"/>
      <c r="AAI41" s="296"/>
      <c r="AAJ41" s="296"/>
      <c r="AAK41" s="296"/>
      <c r="AAL41" s="296"/>
      <c r="AAM41" s="296"/>
      <c r="AAN41" s="296"/>
      <c r="AAO41" s="296"/>
      <c r="AAP41" s="296"/>
      <c r="AAQ41" s="296"/>
      <c r="AAR41" s="296"/>
      <c r="AAS41" s="296"/>
      <c r="AAT41" s="296"/>
      <c r="AAU41" s="296"/>
      <c r="AAV41" s="296"/>
      <c r="AAW41" s="296"/>
      <c r="AAX41" s="296"/>
      <c r="AAY41" s="296"/>
      <c r="AAZ41" s="296"/>
      <c r="ABA41" s="296"/>
      <c r="ABB41" s="296"/>
      <c r="ABC41" s="296"/>
      <c r="ABD41" s="296"/>
      <c r="ABE41" s="296"/>
      <c r="ABF41" s="296"/>
      <c r="ABG41" s="296"/>
      <c r="ABH41" s="296"/>
      <c r="ABI41" s="296"/>
      <c r="ABJ41" s="296"/>
      <c r="ABK41" s="296"/>
      <c r="ABL41" s="296"/>
      <c r="ABM41" s="296"/>
      <c r="ABN41" s="296"/>
      <c r="ABO41" s="296"/>
      <c r="ABP41" s="296"/>
      <c r="ABQ41" s="296"/>
      <c r="ABR41" s="296"/>
      <c r="ABS41" s="296"/>
      <c r="ABT41" s="296"/>
      <c r="ABU41" s="296"/>
      <c r="ABV41" s="296"/>
      <c r="ABW41" s="296"/>
      <c r="ABX41" s="296"/>
      <c r="ABY41" s="296"/>
      <c r="ABZ41" s="296"/>
      <c r="ACA41" s="296"/>
      <c r="ACB41" s="296"/>
      <c r="ACC41" s="296"/>
      <c r="ACD41" s="296"/>
      <c r="ACE41" s="296"/>
      <c r="ACF41" s="296"/>
      <c r="ACG41" s="296"/>
      <c r="ACH41" s="296"/>
      <c r="ACI41" s="296"/>
      <c r="ACJ41" s="296"/>
      <c r="ACK41" s="296"/>
      <c r="ACL41" s="296"/>
      <c r="ACM41" s="296"/>
      <c r="ACN41" s="296"/>
      <c r="ACO41" s="296"/>
      <c r="ACP41" s="296"/>
      <c r="ACQ41" s="296"/>
      <c r="ACR41" s="296"/>
      <c r="ACS41" s="296"/>
      <c r="ACT41" s="296"/>
      <c r="ACU41" s="296"/>
      <c r="ACV41" s="296"/>
      <c r="ACW41" s="296"/>
      <c r="ACX41" s="296"/>
      <c r="ACY41" s="296"/>
      <c r="ACZ41" s="296"/>
      <c r="ADA41" s="296"/>
      <c r="ADB41" s="296"/>
      <c r="ADC41" s="296"/>
      <c r="ADD41" s="296"/>
      <c r="ADE41" s="296"/>
      <c r="ADF41" s="296"/>
      <c r="ADG41" s="296"/>
      <c r="ADH41" s="296"/>
      <c r="ADI41" s="296"/>
      <c r="ADJ41" s="296"/>
      <c r="ADK41" s="296"/>
      <c r="ADL41" s="296"/>
      <c r="ADM41" s="296"/>
      <c r="ADN41" s="296"/>
      <c r="ADO41" s="296"/>
      <c r="ADP41" s="296"/>
      <c r="ADQ41" s="296"/>
      <c r="ADR41" s="296"/>
      <c r="ADS41" s="296"/>
      <c r="ADT41" s="296"/>
      <c r="ADU41" s="296"/>
      <c r="ADV41" s="296"/>
      <c r="ADW41" s="296"/>
      <c r="ADX41" s="296"/>
      <c r="ADY41" s="296"/>
      <c r="ADZ41" s="296"/>
      <c r="AEA41" s="296"/>
      <c r="AEB41" s="296"/>
      <c r="AEC41" s="296"/>
      <c r="AED41" s="296"/>
      <c r="AEE41" s="296"/>
      <c r="AEF41" s="296"/>
      <c r="AEG41" s="296"/>
      <c r="AEH41" s="296"/>
      <c r="AEI41" s="296"/>
      <c r="AEJ41" s="296"/>
      <c r="AEK41" s="296"/>
      <c r="AEL41" s="296"/>
      <c r="AEM41" s="296"/>
      <c r="AEN41" s="296"/>
      <c r="AEO41" s="296"/>
      <c r="AEP41" s="296"/>
      <c r="AEQ41" s="296"/>
      <c r="AER41" s="296"/>
      <c r="AES41" s="296"/>
      <c r="AET41" s="296"/>
      <c r="AEU41" s="296"/>
      <c r="AEV41" s="296"/>
      <c r="AEW41" s="296"/>
      <c r="AEX41" s="296"/>
      <c r="AEY41" s="296"/>
      <c r="AEZ41" s="296"/>
      <c r="AFA41" s="296"/>
      <c r="AFB41" s="296"/>
      <c r="AFC41" s="296"/>
      <c r="AFD41" s="296"/>
      <c r="AFE41" s="296"/>
      <c r="AFF41" s="296"/>
      <c r="AFG41" s="296"/>
      <c r="AFH41" s="296"/>
      <c r="AFI41" s="296"/>
      <c r="AFJ41" s="296"/>
      <c r="AFK41" s="296"/>
      <c r="AFL41" s="296"/>
      <c r="AFM41" s="296"/>
      <c r="AFN41" s="296"/>
      <c r="AFO41" s="296"/>
      <c r="AFP41" s="296"/>
      <c r="AFQ41" s="296"/>
      <c r="AFR41" s="296"/>
      <c r="AFS41" s="296"/>
      <c r="AFT41" s="296"/>
      <c r="AFU41" s="296"/>
      <c r="AFV41" s="296"/>
      <c r="AFW41" s="296"/>
      <c r="AFX41" s="296"/>
      <c r="AFY41" s="296"/>
      <c r="AFZ41" s="296"/>
      <c r="AGA41" s="296"/>
      <c r="AGB41" s="296"/>
      <c r="AGC41" s="296"/>
      <c r="AGD41" s="296"/>
      <c r="AGE41" s="296"/>
      <c r="AGF41" s="296"/>
      <c r="AGG41" s="296"/>
      <c r="AGH41" s="296"/>
      <c r="AGI41" s="296"/>
      <c r="AGJ41" s="296"/>
      <c r="AGK41" s="296"/>
      <c r="AGL41" s="296"/>
      <c r="AGM41" s="296"/>
      <c r="AGN41" s="296"/>
      <c r="AGO41" s="296"/>
      <c r="AGP41" s="296"/>
      <c r="AGQ41" s="296"/>
      <c r="AGR41" s="296"/>
      <c r="AGS41" s="296"/>
      <c r="AGT41" s="296"/>
      <c r="AGU41" s="296"/>
      <c r="AGV41" s="296"/>
      <c r="AGW41" s="296"/>
      <c r="AGX41" s="296"/>
      <c r="AGY41" s="296"/>
      <c r="AGZ41" s="296"/>
      <c r="AHA41" s="296"/>
      <c r="AHB41" s="296"/>
      <c r="AHC41" s="296"/>
      <c r="AHD41" s="296"/>
      <c r="AHE41" s="296"/>
      <c r="AHF41" s="296"/>
      <c r="AHG41" s="296"/>
      <c r="AHH41" s="296"/>
      <c r="AHI41" s="296"/>
      <c r="AHJ41" s="296"/>
      <c r="AHK41" s="296"/>
      <c r="AHL41" s="296"/>
      <c r="AHM41" s="296"/>
      <c r="AHN41" s="296"/>
      <c r="AHO41" s="296"/>
      <c r="AHP41" s="296"/>
      <c r="AHQ41" s="296"/>
      <c r="AHR41" s="296"/>
      <c r="AHS41" s="296"/>
      <c r="AHT41" s="296"/>
      <c r="AHU41" s="296"/>
      <c r="AHV41" s="296"/>
      <c r="AHW41" s="296"/>
      <c r="AHX41" s="296"/>
      <c r="AHY41" s="296"/>
      <c r="AHZ41" s="296"/>
      <c r="AIA41" s="296"/>
      <c r="AIB41" s="296"/>
      <c r="AIC41" s="296"/>
      <c r="AID41" s="296"/>
      <c r="AIE41" s="296"/>
      <c r="AIF41" s="296"/>
      <c r="AIG41" s="296"/>
      <c r="AIH41" s="296"/>
      <c r="AII41" s="296"/>
      <c r="AIJ41" s="296"/>
      <c r="AIK41" s="296"/>
      <c r="AIL41" s="296"/>
      <c r="AIM41" s="296"/>
      <c r="AIN41" s="296"/>
      <c r="AIO41" s="296"/>
      <c r="AIP41" s="296"/>
      <c r="AIQ41" s="296"/>
      <c r="AIR41" s="296"/>
      <c r="AIS41" s="296"/>
      <c r="AIT41" s="296"/>
      <c r="AIU41" s="296"/>
      <c r="AIV41" s="296"/>
      <c r="AIW41" s="296"/>
      <c r="AIX41" s="296"/>
      <c r="AIY41" s="296"/>
      <c r="AIZ41" s="296"/>
      <c r="AJA41" s="296"/>
      <c r="AJB41" s="296"/>
      <c r="AJC41" s="296"/>
      <c r="AJD41" s="296"/>
      <c r="AJE41" s="296"/>
      <c r="AJF41" s="296"/>
      <c r="AJG41" s="296"/>
      <c r="AJH41" s="296"/>
      <c r="AJI41" s="296"/>
      <c r="AJJ41" s="296"/>
      <c r="AJK41" s="296"/>
      <c r="AJL41" s="296"/>
      <c r="AJM41" s="296"/>
      <c r="AJN41" s="296"/>
      <c r="AJO41" s="296"/>
      <c r="AJP41" s="296"/>
      <c r="AJQ41" s="296"/>
      <c r="AJR41" s="296"/>
      <c r="AJS41" s="296"/>
      <c r="AJT41" s="296"/>
      <c r="AJU41" s="296"/>
      <c r="AJV41" s="296"/>
      <c r="AJW41" s="296"/>
      <c r="AJX41" s="296"/>
      <c r="AJY41" s="296"/>
      <c r="AJZ41" s="296"/>
      <c r="AKA41" s="296"/>
      <c r="AKB41" s="296"/>
      <c r="AKC41" s="296"/>
      <c r="AKD41" s="296"/>
      <c r="AKE41" s="296"/>
      <c r="AKF41" s="296"/>
      <c r="AKG41" s="296"/>
      <c r="AKH41" s="296"/>
      <c r="AKI41" s="296"/>
      <c r="AKJ41" s="296"/>
      <c r="AKK41" s="296"/>
      <c r="AKL41" s="296"/>
      <c r="AKM41" s="296"/>
      <c r="AKN41" s="296"/>
      <c r="AKO41" s="296"/>
      <c r="AKP41" s="296"/>
      <c r="AKQ41" s="296"/>
      <c r="AKR41" s="296"/>
      <c r="AKS41" s="296"/>
      <c r="AKT41" s="296"/>
      <c r="AKU41" s="296"/>
      <c r="AKV41" s="296"/>
      <c r="AKW41" s="296"/>
      <c r="AKX41" s="296"/>
      <c r="AKY41" s="296"/>
      <c r="AKZ41" s="296"/>
      <c r="ALA41" s="296"/>
      <c r="ALB41" s="296"/>
      <c r="ALC41" s="296"/>
      <c r="ALD41" s="296"/>
      <c r="ALE41" s="296"/>
      <c r="ALF41" s="296"/>
      <c r="ALG41" s="296"/>
      <c r="ALH41" s="296"/>
      <c r="ALI41" s="296"/>
      <c r="ALJ41" s="296"/>
      <c r="ALK41" s="296"/>
      <c r="ALL41" s="296"/>
      <c r="ALM41" s="296"/>
      <c r="ALN41" s="296"/>
      <c r="ALO41" s="296"/>
      <c r="ALP41" s="296"/>
      <c r="ALQ41" s="296"/>
      <c r="ALR41" s="296"/>
      <c r="ALS41" s="296"/>
      <c r="ALT41" s="296"/>
      <c r="ALU41" s="296"/>
      <c r="ALV41" s="296"/>
      <c r="ALW41" s="296"/>
      <c r="ALX41" s="296"/>
      <c r="ALY41" s="296"/>
      <c r="ALZ41" s="296"/>
      <c r="AMA41" s="296"/>
      <c r="AMB41" s="296"/>
      <c r="AMC41" s="296"/>
      <c r="AMD41" s="296"/>
      <c r="AME41" s="296"/>
      <c r="AMF41" s="296"/>
      <c r="AMG41" s="296"/>
      <c r="AMH41" s="296"/>
      <c r="AMI41" s="296"/>
      <c r="AMJ41" s="296"/>
    </row>
    <row r="42" customFormat="false" ht="12.8" hidden="false" customHeight="false" outlineLevel="0" collapsed="false">
      <c r="A42" s="324"/>
      <c r="B42" s="309" t="s">
        <v>191</v>
      </c>
      <c r="C42" s="309"/>
      <c r="D42" s="309" t="s">
        <v>192</v>
      </c>
      <c r="E42" s="309"/>
      <c r="F42" s="309" t="s">
        <v>32</v>
      </c>
      <c r="G42" s="309"/>
      <c r="H42" s="309" t="s">
        <v>193</v>
      </c>
      <c r="I42" s="309"/>
      <c r="J42" s="309" t="s">
        <v>194</v>
      </c>
      <c r="K42" s="301"/>
      <c r="L42" s="301"/>
      <c r="M42" s="301"/>
      <c r="N42" s="301"/>
      <c r="O42" s="301"/>
      <c r="P42" s="301"/>
      <c r="Q42" s="301"/>
      <c r="R42" s="301"/>
      <c r="S42" s="301"/>
      <c r="T42" s="301"/>
      <c r="U42" s="301"/>
      <c r="V42" s="301"/>
      <c r="W42" s="301"/>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301"/>
      <c r="AX42" s="301"/>
      <c r="AY42" s="301"/>
      <c r="AZ42" s="301"/>
      <c r="BA42" s="301"/>
      <c r="BB42" s="301"/>
      <c r="BC42" s="301"/>
      <c r="BD42" s="301"/>
      <c r="BE42" s="301"/>
      <c r="BF42" s="301"/>
      <c r="BG42" s="301"/>
      <c r="BH42" s="301"/>
      <c r="BI42" s="301"/>
      <c r="BJ42" s="301"/>
      <c r="BK42" s="301"/>
      <c r="BL42" s="301"/>
      <c r="BM42" s="301"/>
      <c r="BN42" s="301"/>
      <c r="BO42" s="301"/>
      <c r="BP42" s="301"/>
      <c r="BQ42" s="301"/>
      <c r="BR42" s="301"/>
      <c r="BS42" s="301"/>
      <c r="BT42" s="301"/>
      <c r="BU42" s="301"/>
      <c r="BV42" s="301"/>
      <c r="BW42" s="301"/>
      <c r="BX42" s="301"/>
      <c r="BY42" s="301"/>
      <c r="BZ42" s="301"/>
      <c r="CA42" s="301"/>
      <c r="CB42" s="301"/>
      <c r="CC42" s="301"/>
      <c r="CD42" s="301"/>
      <c r="CE42" s="301"/>
      <c r="CF42" s="301"/>
      <c r="CG42" s="301"/>
      <c r="CH42" s="301"/>
      <c r="CI42" s="301"/>
      <c r="CJ42" s="301"/>
      <c r="CK42" s="301"/>
      <c r="CL42" s="301"/>
      <c r="CM42" s="301"/>
      <c r="CN42" s="301"/>
      <c r="CO42" s="301"/>
      <c r="CP42" s="301"/>
      <c r="CQ42" s="301"/>
      <c r="CR42" s="301"/>
      <c r="CS42" s="301"/>
      <c r="CT42" s="301"/>
      <c r="CU42" s="301"/>
      <c r="CV42" s="301"/>
      <c r="CW42" s="301"/>
      <c r="CX42" s="301"/>
      <c r="CY42" s="301"/>
      <c r="CZ42" s="301"/>
      <c r="DA42" s="301"/>
      <c r="DB42" s="301"/>
      <c r="DC42" s="301"/>
      <c r="DD42" s="301"/>
      <c r="DE42" s="301"/>
      <c r="DF42" s="301"/>
      <c r="DG42" s="301"/>
      <c r="DH42" s="301"/>
      <c r="DI42" s="301"/>
      <c r="DJ42" s="301"/>
      <c r="DK42" s="301"/>
      <c r="DL42" s="301"/>
      <c r="DM42" s="301"/>
      <c r="DN42" s="301"/>
      <c r="DO42" s="301"/>
      <c r="DP42" s="301"/>
      <c r="DQ42" s="301"/>
      <c r="DR42" s="301"/>
      <c r="DS42" s="301"/>
      <c r="DT42" s="301"/>
      <c r="DU42" s="301"/>
      <c r="DV42" s="301"/>
      <c r="DW42" s="301"/>
      <c r="DX42" s="301"/>
      <c r="DY42" s="301"/>
      <c r="DZ42" s="301"/>
      <c r="EA42" s="301"/>
      <c r="EB42" s="301"/>
      <c r="EC42" s="301"/>
      <c r="ED42" s="301"/>
      <c r="EE42" s="301"/>
      <c r="EF42" s="301"/>
      <c r="EG42" s="301"/>
      <c r="EH42" s="301"/>
      <c r="EI42" s="301"/>
      <c r="EJ42" s="301"/>
      <c r="EK42" s="301"/>
      <c r="EL42" s="301"/>
      <c r="EM42" s="301"/>
      <c r="EN42" s="301"/>
      <c r="EO42" s="301"/>
      <c r="EP42" s="301"/>
      <c r="EQ42" s="301"/>
      <c r="ER42" s="301"/>
      <c r="ES42" s="301"/>
      <c r="ET42" s="301"/>
      <c r="EU42" s="301"/>
      <c r="EV42" s="301"/>
      <c r="EW42" s="301"/>
      <c r="EX42" s="301"/>
      <c r="EY42" s="301"/>
      <c r="EZ42" s="301"/>
      <c r="FA42" s="301"/>
      <c r="FB42" s="301"/>
      <c r="FC42" s="301"/>
      <c r="FD42" s="301"/>
      <c r="FE42" s="301"/>
      <c r="FF42" s="301"/>
      <c r="FG42" s="301"/>
      <c r="FH42" s="301"/>
      <c r="FI42" s="301"/>
      <c r="FJ42" s="301"/>
      <c r="FK42" s="301"/>
      <c r="FL42" s="301"/>
      <c r="FM42" s="301"/>
      <c r="FN42" s="301"/>
      <c r="FO42" s="301"/>
      <c r="FP42" s="301"/>
      <c r="FQ42" s="301"/>
      <c r="FR42" s="301"/>
      <c r="FS42" s="301"/>
      <c r="FT42" s="301"/>
      <c r="FU42" s="301"/>
      <c r="FV42" s="301"/>
      <c r="FW42" s="301"/>
      <c r="FX42" s="301"/>
      <c r="FY42" s="301"/>
      <c r="FZ42" s="301"/>
      <c r="GA42" s="301"/>
      <c r="GB42" s="301"/>
      <c r="GC42" s="301"/>
      <c r="GD42" s="301"/>
      <c r="GE42" s="301"/>
      <c r="GF42" s="301"/>
      <c r="GG42" s="301"/>
      <c r="GH42" s="301"/>
      <c r="GI42" s="301"/>
      <c r="GJ42" s="301"/>
      <c r="GK42" s="301"/>
      <c r="GL42" s="301"/>
      <c r="GM42" s="301"/>
      <c r="GN42" s="301"/>
      <c r="GO42" s="301"/>
      <c r="GP42" s="301"/>
      <c r="GQ42" s="301"/>
      <c r="GR42" s="301"/>
      <c r="GS42" s="301"/>
      <c r="GT42" s="301"/>
      <c r="GU42" s="301"/>
      <c r="GV42" s="301"/>
      <c r="GW42" s="301"/>
      <c r="GX42" s="301"/>
      <c r="GY42" s="301"/>
      <c r="GZ42" s="301"/>
      <c r="HA42" s="301"/>
      <c r="HB42" s="301"/>
      <c r="HC42" s="301"/>
      <c r="HD42" s="301"/>
      <c r="HE42" s="301"/>
      <c r="HF42" s="301"/>
      <c r="HG42" s="301"/>
      <c r="HH42" s="301"/>
      <c r="HI42" s="301"/>
      <c r="HJ42" s="301"/>
      <c r="HK42" s="301"/>
      <c r="HL42" s="301"/>
      <c r="HM42" s="301"/>
      <c r="HN42" s="301"/>
      <c r="HO42" s="301"/>
      <c r="HP42" s="301"/>
      <c r="HQ42" s="301"/>
      <c r="HR42" s="301"/>
      <c r="HS42" s="301"/>
      <c r="HT42" s="301"/>
      <c r="HU42" s="301"/>
      <c r="HV42" s="301"/>
      <c r="HW42" s="301"/>
      <c r="HX42" s="301"/>
      <c r="HY42" s="301"/>
      <c r="HZ42" s="301"/>
      <c r="IA42" s="301"/>
      <c r="IB42" s="301"/>
      <c r="IC42" s="301"/>
      <c r="ID42" s="301"/>
      <c r="IE42" s="301"/>
      <c r="IF42" s="301"/>
      <c r="IG42" s="301"/>
      <c r="IH42" s="301"/>
      <c r="II42" s="301"/>
      <c r="IJ42" s="301"/>
      <c r="IK42" s="301"/>
      <c r="IL42" s="301"/>
      <c r="IM42" s="301"/>
      <c r="IN42" s="301"/>
      <c r="IO42" s="301"/>
      <c r="IP42" s="301"/>
      <c r="IQ42" s="301"/>
      <c r="IR42" s="301"/>
      <c r="IS42" s="301"/>
      <c r="IT42" s="301"/>
      <c r="IU42" s="301"/>
      <c r="IV42" s="301"/>
      <c r="IW42" s="301"/>
      <c r="IX42" s="301"/>
      <c r="IY42" s="301"/>
      <c r="IZ42" s="301"/>
      <c r="JA42" s="301"/>
      <c r="JB42" s="301"/>
      <c r="JC42" s="301"/>
      <c r="JD42" s="301"/>
      <c r="JE42" s="301"/>
      <c r="JF42" s="301"/>
      <c r="JG42" s="301"/>
      <c r="JH42" s="301"/>
      <c r="JI42" s="301"/>
      <c r="JJ42" s="301"/>
      <c r="JK42" s="301"/>
      <c r="JL42" s="301"/>
      <c r="JM42" s="301"/>
      <c r="JN42" s="301"/>
      <c r="JO42" s="301"/>
      <c r="JP42" s="301"/>
      <c r="JQ42" s="301"/>
      <c r="JR42" s="301"/>
      <c r="JS42" s="301"/>
      <c r="JT42" s="301"/>
      <c r="JU42" s="301"/>
      <c r="JV42" s="301"/>
      <c r="JW42" s="301"/>
      <c r="JX42" s="301"/>
      <c r="JY42" s="301"/>
      <c r="JZ42" s="301"/>
      <c r="KA42" s="301"/>
      <c r="KB42" s="301"/>
      <c r="KC42" s="301"/>
      <c r="KD42" s="301"/>
      <c r="KE42" s="301"/>
      <c r="KF42" s="301"/>
      <c r="KG42" s="301"/>
      <c r="KH42" s="301"/>
      <c r="KI42" s="301"/>
      <c r="KJ42" s="301"/>
      <c r="KK42" s="301"/>
      <c r="KL42" s="301"/>
      <c r="KM42" s="301"/>
      <c r="KN42" s="301"/>
      <c r="KO42" s="301"/>
      <c r="KP42" s="301"/>
      <c r="KQ42" s="301"/>
      <c r="KR42" s="301"/>
      <c r="KS42" s="301"/>
      <c r="KT42" s="301"/>
      <c r="KU42" s="301"/>
      <c r="KV42" s="301"/>
      <c r="KW42" s="301"/>
      <c r="KX42" s="301"/>
      <c r="KY42" s="301"/>
      <c r="KZ42" s="301"/>
      <c r="LA42" s="301"/>
      <c r="LB42" s="301"/>
      <c r="LC42" s="301"/>
      <c r="LD42" s="301"/>
      <c r="LE42" s="301"/>
      <c r="LF42" s="301"/>
      <c r="LG42" s="301"/>
      <c r="LH42" s="301"/>
      <c r="LI42" s="301"/>
      <c r="LJ42" s="301"/>
      <c r="LK42" s="301"/>
      <c r="LL42" s="301"/>
      <c r="LM42" s="301"/>
      <c r="LN42" s="301"/>
      <c r="LO42" s="301"/>
      <c r="LP42" s="301"/>
      <c r="LQ42" s="301"/>
      <c r="LR42" s="301"/>
      <c r="LS42" s="301"/>
      <c r="LT42" s="301"/>
      <c r="LU42" s="301"/>
      <c r="LV42" s="301"/>
      <c r="LW42" s="301"/>
      <c r="LX42" s="301"/>
      <c r="LY42" s="301"/>
      <c r="LZ42" s="301"/>
      <c r="MA42" s="301"/>
      <c r="MB42" s="301"/>
      <c r="MC42" s="301"/>
      <c r="MD42" s="301"/>
      <c r="ME42" s="301"/>
      <c r="MF42" s="301"/>
      <c r="MG42" s="301"/>
      <c r="MH42" s="301"/>
      <c r="MI42" s="301"/>
      <c r="MJ42" s="301"/>
      <c r="MK42" s="301"/>
      <c r="ML42" s="301"/>
      <c r="MM42" s="301"/>
      <c r="MN42" s="301"/>
      <c r="MO42" s="301"/>
      <c r="MP42" s="301"/>
      <c r="MQ42" s="301"/>
      <c r="MR42" s="301"/>
      <c r="MS42" s="301"/>
      <c r="MT42" s="301"/>
      <c r="MU42" s="301"/>
      <c r="MV42" s="301"/>
      <c r="MW42" s="301"/>
      <c r="MX42" s="301"/>
      <c r="MY42" s="301"/>
      <c r="MZ42" s="301"/>
      <c r="NA42" s="301"/>
      <c r="NB42" s="301"/>
      <c r="NC42" s="301"/>
      <c r="ND42" s="301"/>
      <c r="NE42" s="301"/>
      <c r="NF42" s="301"/>
      <c r="NG42" s="301"/>
      <c r="NH42" s="301"/>
      <c r="NI42" s="301"/>
      <c r="NJ42" s="301"/>
      <c r="NK42" s="301"/>
      <c r="NL42" s="301"/>
      <c r="NM42" s="301"/>
      <c r="NN42" s="301"/>
      <c r="NO42" s="301"/>
      <c r="NP42" s="301"/>
      <c r="NQ42" s="301"/>
      <c r="NR42" s="301"/>
      <c r="NS42" s="301"/>
      <c r="NT42" s="301"/>
      <c r="NU42" s="301"/>
      <c r="NV42" s="301"/>
      <c r="NW42" s="301"/>
      <c r="NX42" s="301"/>
      <c r="NY42" s="301"/>
      <c r="NZ42" s="301"/>
      <c r="OA42" s="301"/>
      <c r="OB42" s="301"/>
      <c r="OC42" s="301"/>
      <c r="OD42" s="301"/>
      <c r="OE42" s="301"/>
      <c r="OF42" s="301"/>
      <c r="OG42" s="301"/>
      <c r="OH42" s="301"/>
      <c r="OI42" s="301"/>
      <c r="OJ42" s="301"/>
      <c r="OK42" s="301"/>
      <c r="OL42" s="301"/>
      <c r="OM42" s="301"/>
      <c r="ON42" s="301"/>
      <c r="OO42" s="301"/>
      <c r="OP42" s="301"/>
      <c r="OQ42" s="301"/>
      <c r="OR42" s="301"/>
      <c r="OS42" s="301"/>
      <c r="OT42" s="301"/>
      <c r="OU42" s="301"/>
      <c r="OV42" s="301"/>
      <c r="OW42" s="301"/>
      <c r="OX42" s="301"/>
      <c r="OY42" s="301"/>
      <c r="OZ42" s="301"/>
      <c r="PA42" s="301"/>
      <c r="PB42" s="301"/>
      <c r="PC42" s="301"/>
      <c r="PD42" s="301"/>
      <c r="PE42" s="301"/>
      <c r="PF42" s="301"/>
      <c r="PG42" s="301"/>
      <c r="PH42" s="301"/>
      <c r="PI42" s="301"/>
      <c r="PJ42" s="301"/>
      <c r="PK42" s="301"/>
      <c r="PL42" s="301"/>
      <c r="PM42" s="301"/>
      <c r="PN42" s="301"/>
      <c r="PO42" s="301"/>
      <c r="PP42" s="301"/>
      <c r="PQ42" s="301"/>
      <c r="PR42" s="301"/>
      <c r="PS42" s="301"/>
      <c r="PT42" s="301"/>
      <c r="PU42" s="301"/>
      <c r="PV42" s="301"/>
      <c r="PW42" s="301"/>
      <c r="PX42" s="301"/>
      <c r="PY42" s="301"/>
      <c r="PZ42" s="301"/>
      <c r="QA42" s="301"/>
      <c r="QB42" s="301"/>
      <c r="QC42" s="301"/>
      <c r="QD42" s="301"/>
      <c r="QE42" s="301"/>
      <c r="QF42" s="301"/>
      <c r="QG42" s="301"/>
      <c r="QH42" s="301"/>
      <c r="QI42" s="301"/>
      <c r="QJ42" s="301"/>
      <c r="QK42" s="301"/>
      <c r="QL42" s="301"/>
      <c r="QM42" s="301"/>
      <c r="QN42" s="301"/>
      <c r="QO42" s="301"/>
      <c r="QP42" s="301"/>
      <c r="QQ42" s="301"/>
      <c r="QR42" s="301"/>
      <c r="QS42" s="301"/>
      <c r="QT42" s="301"/>
      <c r="QU42" s="301"/>
      <c r="QV42" s="301"/>
      <c r="QW42" s="301"/>
      <c r="QX42" s="301"/>
      <c r="QY42" s="301"/>
      <c r="QZ42" s="301"/>
      <c r="RA42" s="301"/>
      <c r="RB42" s="301"/>
      <c r="RC42" s="301"/>
      <c r="RD42" s="301"/>
      <c r="RE42" s="301"/>
      <c r="RF42" s="301"/>
      <c r="RG42" s="301"/>
      <c r="RH42" s="301"/>
      <c r="RI42" s="301"/>
      <c r="RJ42" s="301"/>
      <c r="RK42" s="301"/>
      <c r="RL42" s="301"/>
      <c r="RM42" s="301"/>
      <c r="RN42" s="301"/>
      <c r="RO42" s="301"/>
      <c r="RP42" s="301"/>
      <c r="RQ42" s="301"/>
      <c r="RR42" s="301"/>
      <c r="RS42" s="301"/>
      <c r="RT42" s="301"/>
      <c r="RU42" s="301"/>
      <c r="RV42" s="301"/>
      <c r="RW42" s="301"/>
      <c r="RX42" s="301"/>
      <c r="RY42" s="301"/>
      <c r="RZ42" s="301"/>
      <c r="SA42" s="301"/>
      <c r="SB42" s="301"/>
      <c r="SC42" s="301"/>
      <c r="SD42" s="301"/>
      <c r="SE42" s="301"/>
      <c r="SF42" s="301"/>
      <c r="SG42" s="301"/>
      <c r="SH42" s="301"/>
      <c r="SI42" s="301"/>
      <c r="SJ42" s="301"/>
      <c r="SK42" s="301"/>
      <c r="SL42" s="301"/>
      <c r="SM42" s="301"/>
      <c r="SN42" s="301"/>
      <c r="SO42" s="301"/>
      <c r="SP42" s="301"/>
      <c r="SQ42" s="301"/>
      <c r="SR42" s="301"/>
      <c r="SS42" s="301"/>
      <c r="ST42" s="301"/>
      <c r="SU42" s="301"/>
      <c r="SV42" s="301"/>
      <c r="SW42" s="301"/>
      <c r="SX42" s="301"/>
      <c r="SY42" s="301"/>
      <c r="SZ42" s="301"/>
      <c r="TA42" s="301"/>
      <c r="TB42" s="301"/>
      <c r="TC42" s="301"/>
      <c r="TD42" s="301"/>
      <c r="TE42" s="301"/>
      <c r="TF42" s="301"/>
      <c r="TG42" s="301"/>
      <c r="TH42" s="301"/>
      <c r="TI42" s="301"/>
      <c r="TJ42" s="301"/>
      <c r="TK42" s="301"/>
      <c r="TL42" s="301"/>
      <c r="TM42" s="301"/>
      <c r="TN42" s="301"/>
      <c r="TO42" s="301"/>
      <c r="TP42" s="301"/>
      <c r="TQ42" s="301"/>
      <c r="TR42" s="301"/>
      <c r="TS42" s="301"/>
      <c r="TT42" s="301"/>
      <c r="TU42" s="301"/>
      <c r="TV42" s="301"/>
      <c r="TW42" s="301"/>
      <c r="TX42" s="301"/>
      <c r="TY42" s="301"/>
      <c r="TZ42" s="301"/>
      <c r="UA42" s="301"/>
      <c r="UB42" s="301"/>
      <c r="UC42" s="301"/>
      <c r="UD42" s="301"/>
      <c r="UE42" s="301"/>
      <c r="UF42" s="301"/>
      <c r="UG42" s="301"/>
      <c r="UH42" s="301"/>
      <c r="UI42" s="301"/>
      <c r="UJ42" s="301"/>
      <c r="UK42" s="301"/>
      <c r="UL42" s="301"/>
      <c r="UM42" s="301"/>
      <c r="UN42" s="301"/>
      <c r="UO42" s="301"/>
      <c r="UP42" s="301"/>
      <c r="UQ42" s="301"/>
      <c r="UR42" s="301"/>
      <c r="US42" s="301"/>
      <c r="UT42" s="301"/>
      <c r="UU42" s="301"/>
      <c r="UV42" s="301"/>
      <c r="UW42" s="301"/>
      <c r="UX42" s="301"/>
      <c r="UY42" s="301"/>
      <c r="UZ42" s="301"/>
      <c r="VA42" s="301"/>
      <c r="VB42" s="301"/>
      <c r="VC42" s="301"/>
      <c r="VD42" s="301"/>
      <c r="VE42" s="301"/>
      <c r="VF42" s="301"/>
      <c r="VG42" s="301"/>
      <c r="VH42" s="301"/>
      <c r="VI42" s="301"/>
      <c r="VJ42" s="301"/>
      <c r="VK42" s="301"/>
      <c r="VL42" s="301"/>
      <c r="VM42" s="301"/>
      <c r="VN42" s="301"/>
      <c r="VO42" s="301"/>
      <c r="VP42" s="301"/>
      <c r="VQ42" s="301"/>
      <c r="VR42" s="301"/>
      <c r="VS42" s="301"/>
      <c r="VT42" s="301"/>
      <c r="VU42" s="301"/>
      <c r="VV42" s="301"/>
      <c r="VW42" s="301"/>
      <c r="VX42" s="301"/>
      <c r="VY42" s="301"/>
      <c r="VZ42" s="301"/>
      <c r="WA42" s="301"/>
      <c r="WB42" s="301"/>
      <c r="WC42" s="301"/>
      <c r="WD42" s="301"/>
      <c r="WE42" s="301"/>
      <c r="WF42" s="301"/>
      <c r="WG42" s="301"/>
      <c r="WH42" s="301"/>
      <c r="WI42" s="301"/>
      <c r="WJ42" s="301"/>
      <c r="WK42" s="301"/>
      <c r="WL42" s="301"/>
      <c r="WM42" s="301"/>
      <c r="WN42" s="301"/>
      <c r="WO42" s="301"/>
      <c r="WP42" s="301"/>
      <c r="WQ42" s="301"/>
      <c r="WR42" s="301"/>
      <c r="WS42" s="301"/>
      <c r="WT42" s="301"/>
      <c r="WU42" s="301"/>
      <c r="WV42" s="301"/>
      <c r="WW42" s="301"/>
      <c r="WX42" s="301"/>
      <c r="WY42" s="301"/>
      <c r="WZ42" s="301"/>
      <c r="XA42" s="301"/>
      <c r="XB42" s="301"/>
      <c r="XC42" s="301"/>
      <c r="XD42" s="301"/>
      <c r="XE42" s="301"/>
      <c r="XF42" s="301"/>
      <c r="XG42" s="301"/>
      <c r="XH42" s="301"/>
      <c r="XI42" s="301"/>
      <c r="XJ42" s="301"/>
      <c r="XK42" s="301"/>
      <c r="XL42" s="301"/>
      <c r="XM42" s="301"/>
      <c r="XN42" s="301"/>
      <c r="XO42" s="301"/>
      <c r="XP42" s="301"/>
      <c r="XQ42" s="301"/>
      <c r="XR42" s="301"/>
      <c r="XS42" s="301"/>
      <c r="XT42" s="301"/>
      <c r="XU42" s="301"/>
      <c r="XV42" s="301"/>
      <c r="XW42" s="301"/>
      <c r="XX42" s="301"/>
      <c r="XY42" s="301"/>
      <c r="XZ42" s="301"/>
      <c r="YA42" s="301"/>
      <c r="YB42" s="301"/>
      <c r="YC42" s="301"/>
      <c r="YD42" s="301"/>
      <c r="YE42" s="301"/>
      <c r="YF42" s="301"/>
      <c r="YG42" s="301"/>
      <c r="YH42" s="301"/>
      <c r="YI42" s="301"/>
      <c r="YJ42" s="301"/>
      <c r="YK42" s="301"/>
      <c r="YL42" s="301"/>
      <c r="YM42" s="301"/>
      <c r="YN42" s="301"/>
      <c r="YO42" s="301"/>
      <c r="YP42" s="301"/>
      <c r="YQ42" s="301"/>
      <c r="YR42" s="301"/>
      <c r="YS42" s="301"/>
      <c r="YT42" s="301"/>
      <c r="YU42" s="301"/>
      <c r="YV42" s="301"/>
      <c r="YW42" s="301"/>
      <c r="YX42" s="301"/>
      <c r="YY42" s="301"/>
      <c r="YZ42" s="301"/>
      <c r="ZA42" s="301"/>
      <c r="ZB42" s="301"/>
      <c r="ZC42" s="301"/>
      <c r="ZD42" s="301"/>
      <c r="ZE42" s="301"/>
      <c r="ZF42" s="301"/>
      <c r="ZG42" s="301"/>
      <c r="ZH42" s="301"/>
      <c r="ZI42" s="301"/>
      <c r="ZJ42" s="301"/>
      <c r="ZK42" s="301"/>
      <c r="ZL42" s="301"/>
      <c r="ZM42" s="301"/>
      <c r="ZN42" s="301"/>
      <c r="ZO42" s="301"/>
      <c r="ZP42" s="301"/>
      <c r="ZQ42" s="301"/>
      <c r="ZR42" s="301"/>
      <c r="ZS42" s="301"/>
      <c r="ZT42" s="301"/>
      <c r="ZU42" s="301"/>
      <c r="ZV42" s="301"/>
      <c r="ZW42" s="301"/>
      <c r="ZX42" s="301"/>
      <c r="ZY42" s="301"/>
      <c r="ZZ42" s="301"/>
      <c r="AAA42" s="301"/>
      <c r="AAB42" s="301"/>
      <c r="AAC42" s="301"/>
      <c r="AAD42" s="301"/>
      <c r="AAE42" s="301"/>
      <c r="AAF42" s="301"/>
      <c r="AAG42" s="301"/>
      <c r="AAH42" s="301"/>
      <c r="AAI42" s="301"/>
      <c r="AAJ42" s="301"/>
      <c r="AAK42" s="301"/>
      <c r="AAL42" s="301"/>
      <c r="AAM42" s="301"/>
      <c r="AAN42" s="301"/>
      <c r="AAO42" s="301"/>
      <c r="AAP42" s="301"/>
      <c r="AAQ42" s="301"/>
      <c r="AAR42" s="301"/>
      <c r="AAS42" s="301"/>
      <c r="AAT42" s="301"/>
      <c r="AAU42" s="301"/>
      <c r="AAV42" s="301"/>
      <c r="AAW42" s="301"/>
      <c r="AAX42" s="301"/>
      <c r="AAY42" s="301"/>
      <c r="AAZ42" s="301"/>
      <c r="ABA42" s="301"/>
      <c r="ABB42" s="301"/>
      <c r="ABC42" s="301"/>
      <c r="ABD42" s="301"/>
      <c r="ABE42" s="301"/>
      <c r="ABF42" s="301"/>
      <c r="ABG42" s="301"/>
      <c r="ABH42" s="301"/>
      <c r="ABI42" s="301"/>
      <c r="ABJ42" s="301"/>
      <c r="ABK42" s="301"/>
      <c r="ABL42" s="301"/>
      <c r="ABM42" s="301"/>
      <c r="ABN42" s="301"/>
      <c r="ABO42" s="301"/>
      <c r="ABP42" s="301"/>
      <c r="ABQ42" s="301"/>
      <c r="ABR42" s="301"/>
      <c r="ABS42" s="301"/>
      <c r="ABT42" s="301"/>
      <c r="ABU42" s="301"/>
      <c r="ABV42" s="301"/>
      <c r="ABW42" s="301"/>
      <c r="ABX42" s="301"/>
      <c r="ABY42" s="301"/>
      <c r="ABZ42" s="301"/>
      <c r="ACA42" s="301"/>
      <c r="ACB42" s="301"/>
      <c r="ACC42" s="301"/>
      <c r="ACD42" s="301"/>
      <c r="ACE42" s="301"/>
      <c r="ACF42" s="301"/>
      <c r="ACG42" s="301"/>
      <c r="ACH42" s="301"/>
      <c r="ACI42" s="301"/>
      <c r="ACJ42" s="301"/>
      <c r="ACK42" s="301"/>
      <c r="ACL42" s="301"/>
      <c r="ACM42" s="301"/>
      <c r="ACN42" s="301"/>
      <c r="ACO42" s="301"/>
      <c r="ACP42" s="301"/>
      <c r="ACQ42" s="301"/>
      <c r="ACR42" s="301"/>
      <c r="ACS42" s="301"/>
      <c r="ACT42" s="301"/>
      <c r="ACU42" s="301"/>
      <c r="ACV42" s="301"/>
      <c r="ACW42" s="301"/>
      <c r="ACX42" s="301"/>
      <c r="ACY42" s="301"/>
      <c r="ACZ42" s="301"/>
      <c r="ADA42" s="301"/>
      <c r="ADB42" s="301"/>
      <c r="ADC42" s="301"/>
      <c r="ADD42" s="301"/>
      <c r="ADE42" s="301"/>
      <c r="ADF42" s="301"/>
      <c r="ADG42" s="301"/>
      <c r="ADH42" s="301"/>
      <c r="ADI42" s="301"/>
      <c r="ADJ42" s="301"/>
      <c r="ADK42" s="301"/>
      <c r="ADL42" s="301"/>
      <c r="ADM42" s="301"/>
      <c r="ADN42" s="301"/>
      <c r="ADO42" s="301"/>
      <c r="ADP42" s="301"/>
      <c r="ADQ42" s="301"/>
      <c r="ADR42" s="301"/>
      <c r="ADS42" s="301"/>
      <c r="ADT42" s="301"/>
      <c r="ADU42" s="301"/>
      <c r="ADV42" s="301"/>
      <c r="ADW42" s="301"/>
      <c r="ADX42" s="301"/>
      <c r="ADY42" s="301"/>
      <c r="ADZ42" s="301"/>
      <c r="AEA42" s="301"/>
      <c r="AEB42" s="301"/>
      <c r="AEC42" s="301"/>
      <c r="AED42" s="301"/>
      <c r="AEE42" s="301"/>
      <c r="AEF42" s="301"/>
      <c r="AEG42" s="301"/>
      <c r="AEH42" s="301"/>
      <c r="AEI42" s="301"/>
      <c r="AEJ42" s="301"/>
      <c r="AEK42" s="301"/>
      <c r="AEL42" s="301"/>
      <c r="AEM42" s="301"/>
      <c r="AEN42" s="301"/>
      <c r="AEO42" s="301"/>
      <c r="AEP42" s="301"/>
      <c r="AEQ42" s="301"/>
      <c r="AER42" s="301"/>
      <c r="AES42" s="301"/>
      <c r="AET42" s="301"/>
      <c r="AEU42" s="301"/>
      <c r="AEV42" s="301"/>
      <c r="AEW42" s="301"/>
      <c r="AEX42" s="301"/>
      <c r="AEY42" s="301"/>
      <c r="AEZ42" s="301"/>
      <c r="AFA42" s="301"/>
      <c r="AFB42" s="301"/>
      <c r="AFC42" s="301"/>
      <c r="AFD42" s="301"/>
      <c r="AFE42" s="301"/>
      <c r="AFF42" s="301"/>
      <c r="AFG42" s="301"/>
      <c r="AFH42" s="301"/>
      <c r="AFI42" s="301"/>
      <c r="AFJ42" s="301"/>
      <c r="AFK42" s="301"/>
      <c r="AFL42" s="301"/>
      <c r="AFM42" s="301"/>
      <c r="AFN42" s="301"/>
      <c r="AFO42" s="301"/>
      <c r="AFP42" s="301"/>
      <c r="AFQ42" s="301"/>
      <c r="AFR42" s="301"/>
      <c r="AFS42" s="301"/>
      <c r="AFT42" s="301"/>
      <c r="AFU42" s="301"/>
      <c r="AFV42" s="301"/>
      <c r="AFW42" s="301"/>
      <c r="AFX42" s="301"/>
      <c r="AFY42" s="301"/>
      <c r="AFZ42" s="301"/>
      <c r="AGA42" s="301"/>
      <c r="AGB42" s="301"/>
      <c r="AGC42" s="301"/>
      <c r="AGD42" s="301"/>
      <c r="AGE42" s="301"/>
      <c r="AGF42" s="301"/>
      <c r="AGG42" s="301"/>
      <c r="AGH42" s="301"/>
      <c r="AGI42" s="301"/>
      <c r="AGJ42" s="301"/>
      <c r="AGK42" s="301"/>
      <c r="AGL42" s="301"/>
      <c r="AGM42" s="301"/>
      <c r="AGN42" s="301"/>
      <c r="AGO42" s="301"/>
      <c r="AGP42" s="301"/>
      <c r="AGQ42" s="301"/>
      <c r="AGR42" s="301"/>
      <c r="AGS42" s="301"/>
      <c r="AGT42" s="301"/>
      <c r="AGU42" s="301"/>
      <c r="AGV42" s="301"/>
      <c r="AGW42" s="301"/>
      <c r="AGX42" s="301"/>
      <c r="AGY42" s="301"/>
      <c r="AGZ42" s="301"/>
      <c r="AHA42" s="301"/>
      <c r="AHB42" s="301"/>
      <c r="AHC42" s="301"/>
      <c r="AHD42" s="301"/>
      <c r="AHE42" s="301"/>
      <c r="AHF42" s="301"/>
      <c r="AHG42" s="301"/>
      <c r="AHH42" s="301"/>
      <c r="AHI42" s="301"/>
      <c r="AHJ42" s="301"/>
      <c r="AHK42" s="301"/>
      <c r="AHL42" s="301"/>
      <c r="AHM42" s="301"/>
      <c r="AHN42" s="301"/>
      <c r="AHO42" s="301"/>
      <c r="AHP42" s="301"/>
      <c r="AHQ42" s="301"/>
      <c r="AHR42" s="301"/>
      <c r="AHS42" s="301"/>
      <c r="AHT42" s="301"/>
      <c r="AHU42" s="301"/>
      <c r="AHV42" s="301"/>
      <c r="AHW42" s="301"/>
      <c r="AHX42" s="301"/>
      <c r="AHY42" s="301"/>
      <c r="AHZ42" s="301"/>
      <c r="AIA42" s="301"/>
      <c r="AIB42" s="301"/>
      <c r="AIC42" s="301"/>
      <c r="AID42" s="301"/>
      <c r="AIE42" s="301"/>
      <c r="AIF42" s="301"/>
      <c r="AIG42" s="301"/>
      <c r="AIH42" s="301"/>
      <c r="AII42" s="301"/>
      <c r="AIJ42" s="301"/>
      <c r="AIK42" s="301"/>
      <c r="AIL42" s="301"/>
      <c r="AIM42" s="301"/>
      <c r="AIN42" s="301"/>
      <c r="AIO42" s="301"/>
      <c r="AIP42" s="301"/>
      <c r="AIQ42" s="301"/>
      <c r="AIR42" s="301"/>
      <c r="AIS42" s="301"/>
      <c r="AIT42" s="301"/>
      <c r="AIU42" s="301"/>
      <c r="AIV42" s="301"/>
      <c r="AIW42" s="301"/>
      <c r="AIX42" s="301"/>
      <c r="AIY42" s="301"/>
      <c r="AIZ42" s="301"/>
      <c r="AJA42" s="301"/>
      <c r="AJB42" s="301"/>
      <c r="AJC42" s="301"/>
      <c r="AJD42" s="301"/>
      <c r="AJE42" s="301"/>
      <c r="AJF42" s="301"/>
      <c r="AJG42" s="301"/>
      <c r="AJH42" s="301"/>
      <c r="AJI42" s="301"/>
      <c r="AJJ42" s="301"/>
      <c r="AJK42" s="301"/>
      <c r="AJL42" s="301"/>
      <c r="AJM42" s="301"/>
      <c r="AJN42" s="301"/>
      <c r="AJO42" s="301"/>
      <c r="AJP42" s="301"/>
      <c r="AJQ42" s="301"/>
      <c r="AJR42" s="301"/>
      <c r="AJS42" s="301"/>
      <c r="AJT42" s="301"/>
      <c r="AJU42" s="301"/>
      <c r="AJV42" s="301"/>
      <c r="AJW42" s="301"/>
      <c r="AJX42" s="301"/>
      <c r="AJY42" s="301"/>
      <c r="AJZ42" s="301"/>
      <c r="AKA42" s="301"/>
      <c r="AKB42" s="301"/>
      <c r="AKC42" s="301"/>
      <c r="AKD42" s="301"/>
      <c r="AKE42" s="301"/>
      <c r="AKF42" s="301"/>
      <c r="AKG42" s="301"/>
      <c r="AKH42" s="301"/>
      <c r="AKI42" s="301"/>
      <c r="AKJ42" s="301"/>
      <c r="AKK42" s="301"/>
      <c r="AKL42" s="301"/>
      <c r="AKM42" s="301"/>
      <c r="AKN42" s="301"/>
      <c r="AKO42" s="301"/>
      <c r="AKP42" s="301"/>
      <c r="AKQ42" s="301"/>
      <c r="AKR42" s="301"/>
      <c r="AKS42" s="301"/>
      <c r="AKT42" s="301"/>
      <c r="AKU42" s="301"/>
      <c r="AKV42" s="301"/>
      <c r="AKW42" s="301"/>
      <c r="AKX42" s="301"/>
      <c r="AKY42" s="301"/>
      <c r="AKZ42" s="301"/>
      <c r="ALA42" s="301"/>
      <c r="ALB42" s="301"/>
      <c r="ALC42" s="301"/>
      <c r="ALD42" s="301"/>
      <c r="ALE42" s="301"/>
      <c r="ALF42" s="301"/>
      <c r="ALG42" s="301"/>
      <c r="ALH42" s="301"/>
      <c r="ALI42" s="301"/>
      <c r="ALJ42" s="301"/>
      <c r="ALK42" s="301"/>
      <c r="ALL42" s="301"/>
      <c r="ALM42" s="301"/>
      <c r="ALN42" s="301"/>
      <c r="ALO42" s="301"/>
      <c r="ALP42" s="301"/>
      <c r="ALQ42" s="301"/>
      <c r="ALR42" s="301"/>
      <c r="ALS42" s="301"/>
      <c r="ALT42" s="301"/>
      <c r="ALU42" s="301"/>
      <c r="ALV42" s="301"/>
      <c r="ALW42" s="301"/>
      <c r="ALX42" s="301"/>
      <c r="ALY42" s="301"/>
      <c r="ALZ42" s="301"/>
      <c r="AMA42" s="301"/>
      <c r="AMB42" s="301"/>
      <c r="AMC42" s="301"/>
      <c r="AMD42" s="301"/>
      <c r="AME42" s="301"/>
      <c r="AMF42" s="301"/>
      <c r="AMG42" s="301"/>
      <c r="AMH42" s="301"/>
      <c r="AMI42" s="301"/>
      <c r="AMJ42" s="301"/>
    </row>
    <row r="43" customFormat="false" ht="12.8" hidden="false" customHeight="false" outlineLevel="0" collapsed="false">
      <c r="A43" s="299" t="s">
        <v>218</v>
      </c>
      <c r="B43" s="1"/>
      <c r="C43" s="311" t="str">
        <f aca="false">IF(B43&gt;0,1,"")</f>
        <v/>
      </c>
      <c r="D43" s="310"/>
      <c r="E43" s="311" t="str">
        <f aca="false">IF(D43&gt;0,1,"")</f>
        <v/>
      </c>
      <c r="F43" s="310" t="n">
        <v>0</v>
      </c>
      <c r="G43" s="311" t="str">
        <f aca="false">IF(F43&gt;0,1,"")</f>
        <v/>
      </c>
      <c r="H43" s="310"/>
      <c r="I43" s="311" t="str">
        <f aca="false">IF(H43&gt;0,1,"")</f>
        <v/>
      </c>
      <c r="J43" s="326" t="str">
        <f aca="false">IF(SUM(C43,E43,G43,I43)&gt;1,"ERROR",IF(B43&gt;=1,B43*52,IF(D43&gt;=1,D43*26,IF(F43&gt;=1,F43*12,IF(H43&gt;=1,H43*4,"")))))</f>
        <v/>
      </c>
      <c r="K43" s="301"/>
      <c r="L43" s="301"/>
      <c r="M43" s="301"/>
      <c r="N43" s="301"/>
      <c r="O43" s="301"/>
      <c r="P43" s="301"/>
      <c r="Q43" s="301"/>
      <c r="R43" s="301"/>
      <c r="S43" s="301"/>
      <c r="T43" s="301"/>
      <c r="U43" s="301"/>
      <c r="V43" s="301"/>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301"/>
      <c r="BC43" s="301"/>
      <c r="BD43" s="301"/>
      <c r="BE43" s="301"/>
      <c r="BF43" s="301"/>
      <c r="BG43" s="301"/>
      <c r="BH43" s="301"/>
      <c r="BI43" s="301"/>
      <c r="BJ43" s="301"/>
      <c r="BK43" s="301"/>
      <c r="BL43" s="301"/>
      <c r="BM43" s="301"/>
      <c r="BN43" s="301"/>
      <c r="BO43" s="301"/>
      <c r="BP43" s="301"/>
      <c r="BQ43" s="301"/>
      <c r="BR43" s="301"/>
      <c r="BS43" s="301"/>
      <c r="BT43" s="301"/>
      <c r="BU43" s="301"/>
      <c r="BV43" s="301"/>
      <c r="BW43" s="301"/>
      <c r="BX43" s="301"/>
      <c r="BY43" s="301"/>
      <c r="BZ43" s="301"/>
      <c r="CA43" s="301"/>
      <c r="CB43" s="301"/>
      <c r="CC43" s="301"/>
      <c r="CD43" s="301"/>
      <c r="CE43" s="301"/>
      <c r="CF43" s="301"/>
      <c r="CG43" s="301"/>
      <c r="CH43" s="301"/>
      <c r="CI43" s="301"/>
      <c r="CJ43" s="301"/>
      <c r="CK43" s="301"/>
      <c r="CL43" s="301"/>
      <c r="CM43" s="301"/>
      <c r="CN43" s="301"/>
      <c r="CO43" s="301"/>
      <c r="CP43" s="301"/>
      <c r="CQ43" s="301"/>
      <c r="CR43" s="301"/>
      <c r="CS43" s="301"/>
      <c r="CT43" s="301"/>
      <c r="CU43" s="301"/>
      <c r="CV43" s="301"/>
      <c r="CW43" s="301"/>
      <c r="CX43" s="301"/>
      <c r="CY43" s="301"/>
      <c r="CZ43" s="301"/>
      <c r="DA43" s="301"/>
      <c r="DB43" s="301"/>
      <c r="DC43" s="301"/>
      <c r="DD43" s="301"/>
      <c r="DE43" s="301"/>
      <c r="DF43" s="301"/>
      <c r="DG43" s="301"/>
      <c r="DH43" s="301"/>
      <c r="DI43" s="301"/>
      <c r="DJ43" s="301"/>
      <c r="DK43" s="301"/>
      <c r="DL43" s="301"/>
      <c r="DM43" s="301"/>
      <c r="DN43" s="301"/>
      <c r="DO43" s="301"/>
      <c r="DP43" s="301"/>
      <c r="DQ43" s="301"/>
      <c r="DR43" s="301"/>
      <c r="DS43" s="301"/>
      <c r="DT43" s="301"/>
      <c r="DU43" s="301"/>
      <c r="DV43" s="301"/>
      <c r="DW43" s="301"/>
      <c r="DX43" s="301"/>
      <c r="DY43" s="301"/>
      <c r="DZ43" s="301"/>
      <c r="EA43" s="301"/>
      <c r="EB43" s="301"/>
      <c r="EC43" s="301"/>
      <c r="ED43" s="301"/>
      <c r="EE43" s="301"/>
      <c r="EF43" s="301"/>
      <c r="EG43" s="301"/>
      <c r="EH43" s="301"/>
      <c r="EI43" s="301"/>
      <c r="EJ43" s="301"/>
      <c r="EK43" s="301"/>
      <c r="EL43" s="301"/>
      <c r="EM43" s="301"/>
      <c r="EN43" s="301"/>
      <c r="EO43" s="301"/>
      <c r="EP43" s="301"/>
      <c r="EQ43" s="301"/>
      <c r="ER43" s="301"/>
      <c r="ES43" s="301"/>
      <c r="ET43" s="301"/>
      <c r="EU43" s="301"/>
      <c r="EV43" s="301"/>
      <c r="EW43" s="301"/>
      <c r="EX43" s="301"/>
      <c r="EY43" s="301"/>
      <c r="EZ43" s="301"/>
      <c r="FA43" s="301"/>
      <c r="FB43" s="301"/>
      <c r="FC43" s="301"/>
      <c r="FD43" s="301"/>
      <c r="FE43" s="301"/>
      <c r="FF43" s="301"/>
      <c r="FG43" s="301"/>
      <c r="FH43" s="301"/>
      <c r="FI43" s="301"/>
      <c r="FJ43" s="301"/>
      <c r="FK43" s="301"/>
      <c r="FL43" s="301"/>
      <c r="FM43" s="301"/>
      <c r="FN43" s="301"/>
      <c r="FO43" s="301"/>
      <c r="FP43" s="301"/>
      <c r="FQ43" s="301"/>
      <c r="FR43" s="301"/>
      <c r="FS43" s="301"/>
      <c r="FT43" s="301"/>
      <c r="FU43" s="301"/>
      <c r="FV43" s="301"/>
      <c r="FW43" s="301"/>
      <c r="FX43" s="301"/>
      <c r="FY43" s="301"/>
      <c r="FZ43" s="301"/>
      <c r="GA43" s="301"/>
      <c r="GB43" s="301"/>
      <c r="GC43" s="301"/>
      <c r="GD43" s="301"/>
      <c r="GE43" s="301"/>
      <c r="GF43" s="301"/>
      <c r="GG43" s="301"/>
      <c r="GH43" s="301"/>
      <c r="GI43" s="301"/>
      <c r="GJ43" s="301"/>
      <c r="GK43" s="301"/>
      <c r="GL43" s="301"/>
      <c r="GM43" s="301"/>
      <c r="GN43" s="301"/>
      <c r="GO43" s="301"/>
      <c r="GP43" s="301"/>
      <c r="GQ43" s="301"/>
      <c r="GR43" s="301"/>
      <c r="GS43" s="301"/>
      <c r="GT43" s="301"/>
      <c r="GU43" s="301"/>
      <c r="GV43" s="301"/>
      <c r="GW43" s="301"/>
      <c r="GX43" s="301"/>
      <c r="GY43" s="301"/>
      <c r="GZ43" s="301"/>
      <c r="HA43" s="301"/>
      <c r="HB43" s="301"/>
      <c r="HC43" s="301"/>
      <c r="HD43" s="301"/>
      <c r="HE43" s="301"/>
      <c r="HF43" s="301"/>
      <c r="HG43" s="301"/>
      <c r="HH43" s="301"/>
      <c r="HI43" s="301"/>
      <c r="HJ43" s="301"/>
      <c r="HK43" s="301"/>
      <c r="HL43" s="301"/>
      <c r="HM43" s="301"/>
      <c r="HN43" s="301"/>
      <c r="HO43" s="301"/>
      <c r="HP43" s="301"/>
      <c r="HQ43" s="301"/>
      <c r="HR43" s="301"/>
      <c r="HS43" s="301"/>
      <c r="HT43" s="301"/>
      <c r="HU43" s="301"/>
      <c r="HV43" s="301"/>
      <c r="HW43" s="301"/>
      <c r="HX43" s="301"/>
      <c r="HY43" s="301"/>
      <c r="HZ43" s="301"/>
      <c r="IA43" s="301"/>
      <c r="IB43" s="301"/>
      <c r="IC43" s="301"/>
      <c r="ID43" s="301"/>
      <c r="IE43" s="301"/>
      <c r="IF43" s="301"/>
      <c r="IG43" s="301"/>
      <c r="IH43" s="301"/>
      <c r="II43" s="301"/>
      <c r="IJ43" s="301"/>
      <c r="IK43" s="301"/>
      <c r="IL43" s="301"/>
      <c r="IM43" s="301"/>
      <c r="IN43" s="301"/>
      <c r="IO43" s="301"/>
      <c r="IP43" s="301"/>
      <c r="IQ43" s="301"/>
      <c r="IR43" s="301"/>
      <c r="IS43" s="301"/>
      <c r="IT43" s="301"/>
      <c r="IU43" s="301"/>
      <c r="IV43" s="301"/>
      <c r="IW43" s="301"/>
      <c r="IX43" s="301"/>
      <c r="IY43" s="301"/>
      <c r="IZ43" s="301"/>
      <c r="JA43" s="301"/>
      <c r="JB43" s="301"/>
      <c r="JC43" s="301"/>
      <c r="JD43" s="301"/>
      <c r="JE43" s="301"/>
      <c r="JF43" s="301"/>
      <c r="JG43" s="301"/>
      <c r="JH43" s="301"/>
      <c r="JI43" s="301"/>
      <c r="JJ43" s="301"/>
      <c r="JK43" s="301"/>
      <c r="JL43" s="301"/>
      <c r="JM43" s="301"/>
      <c r="JN43" s="301"/>
      <c r="JO43" s="301"/>
      <c r="JP43" s="301"/>
      <c r="JQ43" s="301"/>
      <c r="JR43" s="301"/>
      <c r="JS43" s="301"/>
      <c r="JT43" s="301"/>
      <c r="JU43" s="301"/>
      <c r="JV43" s="301"/>
      <c r="JW43" s="301"/>
      <c r="JX43" s="301"/>
      <c r="JY43" s="301"/>
      <c r="JZ43" s="301"/>
      <c r="KA43" s="301"/>
      <c r="KB43" s="301"/>
      <c r="KC43" s="301"/>
      <c r="KD43" s="301"/>
      <c r="KE43" s="301"/>
      <c r="KF43" s="301"/>
      <c r="KG43" s="301"/>
      <c r="KH43" s="301"/>
      <c r="KI43" s="301"/>
      <c r="KJ43" s="301"/>
      <c r="KK43" s="301"/>
      <c r="KL43" s="301"/>
      <c r="KM43" s="301"/>
      <c r="KN43" s="301"/>
      <c r="KO43" s="301"/>
      <c r="KP43" s="301"/>
      <c r="KQ43" s="301"/>
      <c r="KR43" s="301"/>
      <c r="KS43" s="301"/>
      <c r="KT43" s="301"/>
      <c r="KU43" s="301"/>
      <c r="KV43" s="301"/>
      <c r="KW43" s="301"/>
      <c r="KX43" s="301"/>
      <c r="KY43" s="301"/>
      <c r="KZ43" s="301"/>
      <c r="LA43" s="301"/>
      <c r="LB43" s="301"/>
      <c r="LC43" s="301"/>
      <c r="LD43" s="301"/>
      <c r="LE43" s="301"/>
      <c r="LF43" s="301"/>
      <c r="LG43" s="301"/>
      <c r="LH43" s="301"/>
      <c r="LI43" s="301"/>
      <c r="LJ43" s="301"/>
      <c r="LK43" s="301"/>
      <c r="LL43" s="301"/>
      <c r="LM43" s="301"/>
      <c r="LN43" s="301"/>
      <c r="LO43" s="301"/>
      <c r="LP43" s="301"/>
      <c r="LQ43" s="301"/>
      <c r="LR43" s="301"/>
      <c r="LS43" s="301"/>
      <c r="LT43" s="301"/>
      <c r="LU43" s="301"/>
      <c r="LV43" s="301"/>
      <c r="LW43" s="301"/>
      <c r="LX43" s="301"/>
      <c r="LY43" s="301"/>
      <c r="LZ43" s="301"/>
      <c r="MA43" s="301"/>
      <c r="MB43" s="301"/>
      <c r="MC43" s="301"/>
      <c r="MD43" s="301"/>
      <c r="ME43" s="301"/>
      <c r="MF43" s="301"/>
      <c r="MG43" s="301"/>
      <c r="MH43" s="301"/>
      <c r="MI43" s="301"/>
      <c r="MJ43" s="301"/>
      <c r="MK43" s="301"/>
      <c r="ML43" s="301"/>
      <c r="MM43" s="301"/>
      <c r="MN43" s="301"/>
      <c r="MO43" s="301"/>
      <c r="MP43" s="301"/>
      <c r="MQ43" s="301"/>
      <c r="MR43" s="301"/>
      <c r="MS43" s="301"/>
      <c r="MT43" s="301"/>
      <c r="MU43" s="301"/>
      <c r="MV43" s="301"/>
      <c r="MW43" s="301"/>
      <c r="MX43" s="301"/>
      <c r="MY43" s="301"/>
      <c r="MZ43" s="301"/>
      <c r="NA43" s="301"/>
      <c r="NB43" s="301"/>
      <c r="NC43" s="301"/>
      <c r="ND43" s="301"/>
      <c r="NE43" s="301"/>
      <c r="NF43" s="301"/>
      <c r="NG43" s="301"/>
      <c r="NH43" s="301"/>
      <c r="NI43" s="301"/>
      <c r="NJ43" s="301"/>
      <c r="NK43" s="301"/>
      <c r="NL43" s="301"/>
      <c r="NM43" s="301"/>
      <c r="NN43" s="301"/>
      <c r="NO43" s="301"/>
      <c r="NP43" s="301"/>
      <c r="NQ43" s="301"/>
      <c r="NR43" s="301"/>
      <c r="NS43" s="301"/>
      <c r="NT43" s="301"/>
      <c r="NU43" s="301"/>
      <c r="NV43" s="301"/>
      <c r="NW43" s="301"/>
      <c r="NX43" s="301"/>
      <c r="NY43" s="301"/>
      <c r="NZ43" s="301"/>
      <c r="OA43" s="301"/>
      <c r="OB43" s="301"/>
      <c r="OC43" s="301"/>
      <c r="OD43" s="301"/>
      <c r="OE43" s="301"/>
      <c r="OF43" s="301"/>
      <c r="OG43" s="301"/>
      <c r="OH43" s="301"/>
      <c r="OI43" s="301"/>
      <c r="OJ43" s="301"/>
      <c r="OK43" s="301"/>
      <c r="OL43" s="301"/>
      <c r="OM43" s="301"/>
      <c r="ON43" s="301"/>
      <c r="OO43" s="301"/>
      <c r="OP43" s="301"/>
      <c r="OQ43" s="301"/>
      <c r="OR43" s="301"/>
      <c r="OS43" s="301"/>
      <c r="OT43" s="301"/>
      <c r="OU43" s="301"/>
      <c r="OV43" s="301"/>
      <c r="OW43" s="301"/>
      <c r="OX43" s="301"/>
      <c r="OY43" s="301"/>
      <c r="OZ43" s="301"/>
      <c r="PA43" s="301"/>
      <c r="PB43" s="301"/>
      <c r="PC43" s="301"/>
      <c r="PD43" s="301"/>
      <c r="PE43" s="301"/>
      <c r="PF43" s="301"/>
      <c r="PG43" s="301"/>
      <c r="PH43" s="301"/>
      <c r="PI43" s="301"/>
      <c r="PJ43" s="301"/>
      <c r="PK43" s="301"/>
      <c r="PL43" s="301"/>
      <c r="PM43" s="301"/>
      <c r="PN43" s="301"/>
      <c r="PO43" s="301"/>
      <c r="PP43" s="301"/>
      <c r="PQ43" s="301"/>
      <c r="PR43" s="301"/>
      <c r="PS43" s="301"/>
      <c r="PT43" s="301"/>
      <c r="PU43" s="301"/>
      <c r="PV43" s="301"/>
      <c r="PW43" s="301"/>
      <c r="PX43" s="301"/>
      <c r="PY43" s="301"/>
      <c r="PZ43" s="301"/>
      <c r="QA43" s="301"/>
      <c r="QB43" s="301"/>
      <c r="QC43" s="301"/>
      <c r="QD43" s="301"/>
      <c r="QE43" s="301"/>
      <c r="QF43" s="301"/>
      <c r="QG43" s="301"/>
      <c r="QH43" s="301"/>
      <c r="QI43" s="301"/>
      <c r="QJ43" s="301"/>
      <c r="QK43" s="301"/>
      <c r="QL43" s="301"/>
      <c r="QM43" s="301"/>
      <c r="QN43" s="301"/>
      <c r="QO43" s="301"/>
      <c r="QP43" s="301"/>
      <c r="QQ43" s="301"/>
      <c r="QR43" s="301"/>
      <c r="QS43" s="301"/>
      <c r="QT43" s="301"/>
      <c r="QU43" s="301"/>
      <c r="QV43" s="301"/>
      <c r="QW43" s="301"/>
      <c r="QX43" s="301"/>
      <c r="QY43" s="301"/>
      <c r="QZ43" s="301"/>
      <c r="RA43" s="301"/>
      <c r="RB43" s="301"/>
      <c r="RC43" s="301"/>
      <c r="RD43" s="301"/>
      <c r="RE43" s="301"/>
      <c r="RF43" s="301"/>
      <c r="RG43" s="301"/>
      <c r="RH43" s="301"/>
      <c r="RI43" s="301"/>
      <c r="RJ43" s="301"/>
      <c r="RK43" s="301"/>
      <c r="RL43" s="301"/>
      <c r="RM43" s="301"/>
      <c r="RN43" s="301"/>
      <c r="RO43" s="301"/>
      <c r="RP43" s="301"/>
      <c r="RQ43" s="301"/>
      <c r="RR43" s="301"/>
      <c r="RS43" s="301"/>
      <c r="RT43" s="301"/>
      <c r="RU43" s="301"/>
      <c r="RV43" s="301"/>
      <c r="RW43" s="301"/>
      <c r="RX43" s="301"/>
      <c r="RY43" s="301"/>
      <c r="RZ43" s="301"/>
      <c r="SA43" s="301"/>
      <c r="SB43" s="301"/>
      <c r="SC43" s="301"/>
      <c r="SD43" s="301"/>
      <c r="SE43" s="301"/>
      <c r="SF43" s="301"/>
      <c r="SG43" s="301"/>
      <c r="SH43" s="301"/>
      <c r="SI43" s="301"/>
      <c r="SJ43" s="301"/>
      <c r="SK43" s="301"/>
      <c r="SL43" s="301"/>
      <c r="SM43" s="301"/>
      <c r="SN43" s="301"/>
      <c r="SO43" s="301"/>
      <c r="SP43" s="301"/>
      <c r="SQ43" s="301"/>
      <c r="SR43" s="301"/>
      <c r="SS43" s="301"/>
      <c r="ST43" s="301"/>
      <c r="SU43" s="301"/>
      <c r="SV43" s="301"/>
      <c r="SW43" s="301"/>
      <c r="SX43" s="301"/>
      <c r="SY43" s="301"/>
      <c r="SZ43" s="301"/>
      <c r="TA43" s="301"/>
      <c r="TB43" s="301"/>
      <c r="TC43" s="301"/>
      <c r="TD43" s="301"/>
      <c r="TE43" s="301"/>
      <c r="TF43" s="301"/>
      <c r="TG43" s="301"/>
      <c r="TH43" s="301"/>
      <c r="TI43" s="301"/>
      <c r="TJ43" s="301"/>
      <c r="TK43" s="301"/>
      <c r="TL43" s="301"/>
      <c r="TM43" s="301"/>
      <c r="TN43" s="301"/>
      <c r="TO43" s="301"/>
      <c r="TP43" s="301"/>
      <c r="TQ43" s="301"/>
      <c r="TR43" s="301"/>
      <c r="TS43" s="301"/>
      <c r="TT43" s="301"/>
      <c r="TU43" s="301"/>
      <c r="TV43" s="301"/>
      <c r="TW43" s="301"/>
      <c r="TX43" s="301"/>
      <c r="TY43" s="301"/>
      <c r="TZ43" s="301"/>
      <c r="UA43" s="301"/>
      <c r="UB43" s="301"/>
      <c r="UC43" s="301"/>
      <c r="UD43" s="301"/>
      <c r="UE43" s="301"/>
      <c r="UF43" s="301"/>
      <c r="UG43" s="301"/>
      <c r="UH43" s="301"/>
      <c r="UI43" s="301"/>
      <c r="UJ43" s="301"/>
      <c r="UK43" s="301"/>
      <c r="UL43" s="301"/>
      <c r="UM43" s="301"/>
      <c r="UN43" s="301"/>
      <c r="UO43" s="301"/>
      <c r="UP43" s="301"/>
      <c r="UQ43" s="301"/>
      <c r="UR43" s="301"/>
      <c r="US43" s="301"/>
      <c r="UT43" s="301"/>
      <c r="UU43" s="301"/>
      <c r="UV43" s="301"/>
      <c r="UW43" s="301"/>
      <c r="UX43" s="301"/>
      <c r="UY43" s="301"/>
      <c r="UZ43" s="301"/>
      <c r="VA43" s="301"/>
      <c r="VB43" s="301"/>
      <c r="VC43" s="301"/>
      <c r="VD43" s="301"/>
      <c r="VE43" s="301"/>
      <c r="VF43" s="301"/>
      <c r="VG43" s="301"/>
      <c r="VH43" s="301"/>
      <c r="VI43" s="301"/>
      <c r="VJ43" s="301"/>
      <c r="VK43" s="301"/>
      <c r="VL43" s="301"/>
      <c r="VM43" s="301"/>
      <c r="VN43" s="301"/>
      <c r="VO43" s="301"/>
      <c r="VP43" s="301"/>
      <c r="VQ43" s="301"/>
      <c r="VR43" s="301"/>
      <c r="VS43" s="301"/>
      <c r="VT43" s="301"/>
      <c r="VU43" s="301"/>
      <c r="VV43" s="301"/>
      <c r="VW43" s="301"/>
      <c r="VX43" s="301"/>
      <c r="VY43" s="301"/>
      <c r="VZ43" s="301"/>
      <c r="WA43" s="301"/>
      <c r="WB43" s="301"/>
      <c r="WC43" s="301"/>
      <c r="WD43" s="301"/>
      <c r="WE43" s="301"/>
      <c r="WF43" s="301"/>
      <c r="WG43" s="301"/>
      <c r="WH43" s="301"/>
      <c r="WI43" s="301"/>
      <c r="WJ43" s="301"/>
      <c r="WK43" s="301"/>
      <c r="WL43" s="301"/>
      <c r="WM43" s="301"/>
      <c r="WN43" s="301"/>
      <c r="WO43" s="301"/>
      <c r="WP43" s="301"/>
      <c r="WQ43" s="301"/>
      <c r="WR43" s="301"/>
      <c r="WS43" s="301"/>
      <c r="WT43" s="301"/>
      <c r="WU43" s="301"/>
      <c r="WV43" s="301"/>
      <c r="WW43" s="301"/>
      <c r="WX43" s="301"/>
      <c r="WY43" s="301"/>
      <c r="WZ43" s="301"/>
      <c r="XA43" s="301"/>
      <c r="XB43" s="301"/>
      <c r="XC43" s="301"/>
      <c r="XD43" s="301"/>
      <c r="XE43" s="301"/>
      <c r="XF43" s="301"/>
      <c r="XG43" s="301"/>
      <c r="XH43" s="301"/>
      <c r="XI43" s="301"/>
      <c r="XJ43" s="301"/>
      <c r="XK43" s="301"/>
      <c r="XL43" s="301"/>
      <c r="XM43" s="301"/>
      <c r="XN43" s="301"/>
      <c r="XO43" s="301"/>
      <c r="XP43" s="301"/>
      <c r="XQ43" s="301"/>
      <c r="XR43" s="301"/>
      <c r="XS43" s="301"/>
      <c r="XT43" s="301"/>
      <c r="XU43" s="301"/>
      <c r="XV43" s="301"/>
      <c r="XW43" s="301"/>
      <c r="XX43" s="301"/>
      <c r="XY43" s="301"/>
      <c r="XZ43" s="301"/>
      <c r="YA43" s="301"/>
      <c r="YB43" s="301"/>
      <c r="YC43" s="301"/>
      <c r="YD43" s="301"/>
      <c r="YE43" s="301"/>
      <c r="YF43" s="301"/>
      <c r="YG43" s="301"/>
      <c r="YH43" s="301"/>
      <c r="YI43" s="301"/>
      <c r="YJ43" s="301"/>
      <c r="YK43" s="301"/>
      <c r="YL43" s="301"/>
      <c r="YM43" s="301"/>
      <c r="YN43" s="301"/>
      <c r="YO43" s="301"/>
      <c r="YP43" s="301"/>
      <c r="YQ43" s="301"/>
      <c r="YR43" s="301"/>
      <c r="YS43" s="301"/>
      <c r="YT43" s="301"/>
      <c r="YU43" s="301"/>
      <c r="YV43" s="301"/>
      <c r="YW43" s="301"/>
      <c r="YX43" s="301"/>
      <c r="YY43" s="301"/>
      <c r="YZ43" s="301"/>
      <c r="ZA43" s="301"/>
      <c r="ZB43" s="301"/>
      <c r="ZC43" s="301"/>
      <c r="ZD43" s="301"/>
      <c r="ZE43" s="301"/>
      <c r="ZF43" s="301"/>
      <c r="ZG43" s="301"/>
      <c r="ZH43" s="301"/>
      <c r="ZI43" s="301"/>
      <c r="ZJ43" s="301"/>
      <c r="ZK43" s="301"/>
      <c r="ZL43" s="301"/>
      <c r="ZM43" s="301"/>
      <c r="ZN43" s="301"/>
      <c r="ZO43" s="301"/>
      <c r="ZP43" s="301"/>
      <c r="ZQ43" s="301"/>
      <c r="ZR43" s="301"/>
      <c r="ZS43" s="301"/>
      <c r="ZT43" s="301"/>
      <c r="ZU43" s="301"/>
      <c r="ZV43" s="301"/>
      <c r="ZW43" s="301"/>
      <c r="ZX43" s="301"/>
      <c r="ZY43" s="301"/>
      <c r="ZZ43" s="301"/>
      <c r="AAA43" s="301"/>
      <c r="AAB43" s="301"/>
      <c r="AAC43" s="301"/>
      <c r="AAD43" s="301"/>
      <c r="AAE43" s="301"/>
      <c r="AAF43" s="301"/>
      <c r="AAG43" s="301"/>
      <c r="AAH43" s="301"/>
      <c r="AAI43" s="301"/>
      <c r="AAJ43" s="301"/>
      <c r="AAK43" s="301"/>
      <c r="AAL43" s="301"/>
      <c r="AAM43" s="301"/>
      <c r="AAN43" s="301"/>
      <c r="AAO43" s="301"/>
      <c r="AAP43" s="301"/>
      <c r="AAQ43" s="301"/>
      <c r="AAR43" s="301"/>
      <c r="AAS43" s="301"/>
      <c r="AAT43" s="301"/>
      <c r="AAU43" s="301"/>
      <c r="AAV43" s="301"/>
      <c r="AAW43" s="301"/>
      <c r="AAX43" s="301"/>
      <c r="AAY43" s="301"/>
      <c r="AAZ43" s="301"/>
      <c r="ABA43" s="301"/>
      <c r="ABB43" s="301"/>
      <c r="ABC43" s="301"/>
      <c r="ABD43" s="301"/>
      <c r="ABE43" s="301"/>
      <c r="ABF43" s="301"/>
      <c r="ABG43" s="301"/>
      <c r="ABH43" s="301"/>
      <c r="ABI43" s="301"/>
      <c r="ABJ43" s="301"/>
      <c r="ABK43" s="301"/>
      <c r="ABL43" s="301"/>
      <c r="ABM43" s="301"/>
      <c r="ABN43" s="301"/>
      <c r="ABO43" s="301"/>
      <c r="ABP43" s="301"/>
      <c r="ABQ43" s="301"/>
      <c r="ABR43" s="301"/>
      <c r="ABS43" s="301"/>
      <c r="ABT43" s="301"/>
      <c r="ABU43" s="301"/>
      <c r="ABV43" s="301"/>
      <c r="ABW43" s="301"/>
      <c r="ABX43" s="301"/>
      <c r="ABY43" s="301"/>
      <c r="ABZ43" s="301"/>
      <c r="ACA43" s="301"/>
      <c r="ACB43" s="301"/>
      <c r="ACC43" s="301"/>
      <c r="ACD43" s="301"/>
      <c r="ACE43" s="301"/>
      <c r="ACF43" s="301"/>
      <c r="ACG43" s="301"/>
      <c r="ACH43" s="301"/>
      <c r="ACI43" s="301"/>
      <c r="ACJ43" s="301"/>
      <c r="ACK43" s="301"/>
      <c r="ACL43" s="301"/>
      <c r="ACM43" s="301"/>
      <c r="ACN43" s="301"/>
      <c r="ACO43" s="301"/>
      <c r="ACP43" s="301"/>
      <c r="ACQ43" s="301"/>
      <c r="ACR43" s="301"/>
      <c r="ACS43" s="301"/>
      <c r="ACT43" s="301"/>
      <c r="ACU43" s="301"/>
      <c r="ACV43" s="301"/>
      <c r="ACW43" s="301"/>
      <c r="ACX43" s="301"/>
      <c r="ACY43" s="301"/>
      <c r="ACZ43" s="301"/>
      <c r="ADA43" s="301"/>
      <c r="ADB43" s="301"/>
      <c r="ADC43" s="301"/>
      <c r="ADD43" s="301"/>
      <c r="ADE43" s="301"/>
      <c r="ADF43" s="301"/>
      <c r="ADG43" s="301"/>
      <c r="ADH43" s="301"/>
      <c r="ADI43" s="301"/>
      <c r="ADJ43" s="301"/>
      <c r="ADK43" s="301"/>
      <c r="ADL43" s="301"/>
      <c r="ADM43" s="301"/>
      <c r="ADN43" s="301"/>
      <c r="ADO43" s="301"/>
      <c r="ADP43" s="301"/>
      <c r="ADQ43" s="301"/>
      <c r="ADR43" s="301"/>
      <c r="ADS43" s="301"/>
      <c r="ADT43" s="301"/>
      <c r="ADU43" s="301"/>
      <c r="ADV43" s="301"/>
      <c r="ADW43" s="301"/>
      <c r="ADX43" s="301"/>
      <c r="ADY43" s="301"/>
      <c r="ADZ43" s="301"/>
      <c r="AEA43" s="301"/>
      <c r="AEB43" s="301"/>
      <c r="AEC43" s="301"/>
      <c r="AED43" s="301"/>
      <c r="AEE43" s="301"/>
      <c r="AEF43" s="301"/>
      <c r="AEG43" s="301"/>
      <c r="AEH43" s="301"/>
      <c r="AEI43" s="301"/>
      <c r="AEJ43" s="301"/>
      <c r="AEK43" s="301"/>
      <c r="AEL43" s="301"/>
      <c r="AEM43" s="301"/>
      <c r="AEN43" s="301"/>
      <c r="AEO43" s="301"/>
      <c r="AEP43" s="301"/>
      <c r="AEQ43" s="301"/>
      <c r="AER43" s="301"/>
      <c r="AES43" s="301"/>
      <c r="AET43" s="301"/>
      <c r="AEU43" s="301"/>
      <c r="AEV43" s="301"/>
      <c r="AEW43" s="301"/>
      <c r="AEX43" s="301"/>
      <c r="AEY43" s="301"/>
      <c r="AEZ43" s="301"/>
      <c r="AFA43" s="301"/>
      <c r="AFB43" s="301"/>
      <c r="AFC43" s="301"/>
      <c r="AFD43" s="301"/>
      <c r="AFE43" s="301"/>
      <c r="AFF43" s="301"/>
      <c r="AFG43" s="301"/>
      <c r="AFH43" s="301"/>
      <c r="AFI43" s="301"/>
      <c r="AFJ43" s="301"/>
      <c r="AFK43" s="301"/>
      <c r="AFL43" s="301"/>
      <c r="AFM43" s="301"/>
      <c r="AFN43" s="301"/>
      <c r="AFO43" s="301"/>
      <c r="AFP43" s="301"/>
      <c r="AFQ43" s="301"/>
      <c r="AFR43" s="301"/>
      <c r="AFS43" s="301"/>
      <c r="AFT43" s="301"/>
      <c r="AFU43" s="301"/>
      <c r="AFV43" s="301"/>
      <c r="AFW43" s="301"/>
      <c r="AFX43" s="301"/>
      <c r="AFY43" s="301"/>
      <c r="AFZ43" s="301"/>
      <c r="AGA43" s="301"/>
      <c r="AGB43" s="301"/>
      <c r="AGC43" s="301"/>
      <c r="AGD43" s="301"/>
      <c r="AGE43" s="301"/>
      <c r="AGF43" s="301"/>
      <c r="AGG43" s="301"/>
      <c r="AGH43" s="301"/>
      <c r="AGI43" s="301"/>
      <c r="AGJ43" s="301"/>
      <c r="AGK43" s="301"/>
      <c r="AGL43" s="301"/>
      <c r="AGM43" s="301"/>
      <c r="AGN43" s="301"/>
      <c r="AGO43" s="301"/>
      <c r="AGP43" s="301"/>
      <c r="AGQ43" s="301"/>
      <c r="AGR43" s="301"/>
      <c r="AGS43" s="301"/>
      <c r="AGT43" s="301"/>
      <c r="AGU43" s="301"/>
      <c r="AGV43" s="301"/>
      <c r="AGW43" s="301"/>
      <c r="AGX43" s="301"/>
      <c r="AGY43" s="301"/>
      <c r="AGZ43" s="301"/>
      <c r="AHA43" s="301"/>
      <c r="AHB43" s="301"/>
      <c r="AHC43" s="301"/>
      <c r="AHD43" s="301"/>
      <c r="AHE43" s="301"/>
      <c r="AHF43" s="301"/>
      <c r="AHG43" s="301"/>
      <c r="AHH43" s="301"/>
      <c r="AHI43" s="301"/>
      <c r="AHJ43" s="301"/>
      <c r="AHK43" s="301"/>
      <c r="AHL43" s="301"/>
      <c r="AHM43" s="301"/>
      <c r="AHN43" s="301"/>
      <c r="AHO43" s="301"/>
      <c r="AHP43" s="301"/>
      <c r="AHQ43" s="301"/>
      <c r="AHR43" s="301"/>
      <c r="AHS43" s="301"/>
      <c r="AHT43" s="301"/>
      <c r="AHU43" s="301"/>
      <c r="AHV43" s="301"/>
      <c r="AHW43" s="301"/>
      <c r="AHX43" s="301"/>
      <c r="AHY43" s="301"/>
      <c r="AHZ43" s="301"/>
      <c r="AIA43" s="301"/>
      <c r="AIB43" s="301"/>
      <c r="AIC43" s="301"/>
      <c r="AID43" s="301"/>
      <c r="AIE43" s="301"/>
      <c r="AIF43" s="301"/>
      <c r="AIG43" s="301"/>
      <c r="AIH43" s="301"/>
      <c r="AII43" s="301"/>
      <c r="AIJ43" s="301"/>
      <c r="AIK43" s="301"/>
      <c r="AIL43" s="301"/>
      <c r="AIM43" s="301"/>
      <c r="AIN43" s="301"/>
      <c r="AIO43" s="301"/>
      <c r="AIP43" s="301"/>
      <c r="AIQ43" s="301"/>
      <c r="AIR43" s="301"/>
      <c r="AIS43" s="301"/>
      <c r="AIT43" s="301"/>
      <c r="AIU43" s="301"/>
      <c r="AIV43" s="301"/>
      <c r="AIW43" s="301"/>
      <c r="AIX43" s="301"/>
      <c r="AIY43" s="301"/>
      <c r="AIZ43" s="301"/>
      <c r="AJA43" s="301"/>
      <c r="AJB43" s="301"/>
      <c r="AJC43" s="301"/>
      <c r="AJD43" s="301"/>
      <c r="AJE43" s="301"/>
      <c r="AJF43" s="301"/>
      <c r="AJG43" s="301"/>
      <c r="AJH43" s="301"/>
      <c r="AJI43" s="301"/>
      <c r="AJJ43" s="301"/>
      <c r="AJK43" s="301"/>
      <c r="AJL43" s="301"/>
      <c r="AJM43" s="301"/>
      <c r="AJN43" s="301"/>
      <c r="AJO43" s="301"/>
      <c r="AJP43" s="301"/>
      <c r="AJQ43" s="301"/>
      <c r="AJR43" s="301"/>
      <c r="AJS43" s="301"/>
      <c r="AJT43" s="301"/>
      <c r="AJU43" s="301"/>
      <c r="AJV43" s="301"/>
      <c r="AJW43" s="301"/>
      <c r="AJX43" s="301"/>
      <c r="AJY43" s="301"/>
      <c r="AJZ43" s="301"/>
      <c r="AKA43" s="301"/>
      <c r="AKB43" s="301"/>
      <c r="AKC43" s="301"/>
      <c r="AKD43" s="301"/>
      <c r="AKE43" s="301"/>
      <c r="AKF43" s="301"/>
      <c r="AKG43" s="301"/>
      <c r="AKH43" s="301"/>
      <c r="AKI43" s="301"/>
      <c r="AKJ43" s="301"/>
      <c r="AKK43" s="301"/>
      <c r="AKL43" s="301"/>
      <c r="AKM43" s="301"/>
      <c r="AKN43" s="301"/>
      <c r="AKO43" s="301"/>
      <c r="AKP43" s="301"/>
      <c r="AKQ43" s="301"/>
      <c r="AKR43" s="301"/>
      <c r="AKS43" s="301"/>
      <c r="AKT43" s="301"/>
      <c r="AKU43" s="301"/>
      <c r="AKV43" s="301"/>
      <c r="AKW43" s="301"/>
      <c r="AKX43" s="301"/>
      <c r="AKY43" s="301"/>
      <c r="AKZ43" s="301"/>
      <c r="ALA43" s="301"/>
      <c r="ALB43" s="301"/>
      <c r="ALC43" s="301"/>
      <c r="ALD43" s="301"/>
      <c r="ALE43" s="301"/>
      <c r="ALF43" s="301"/>
      <c r="ALG43" s="301"/>
      <c r="ALH43" s="301"/>
      <c r="ALI43" s="301"/>
      <c r="ALJ43" s="301"/>
      <c r="ALK43" s="301"/>
      <c r="ALL43" s="301"/>
      <c r="ALM43" s="301"/>
      <c r="ALN43" s="301"/>
      <c r="ALO43" s="301"/>
      <c r="ALP43" s="301"/>
      <c r="ALQ43" s="301"/>
      <c r="ALR43" s="301"/>
      <c r="ALS43" s="301"/>
      <c r="ALT43" s="301"/>
      <c r="ALU43" s="301"/>
      <c r="ALV43" s="301"/>
      <c r="ALW43" s="301"/>
      <c r="ALX43" s="301"/>
      <c r="ALY43" s="301"/>
      <c r="ALZ43" s="301"/>
      <c r="AMA43" s="301"/>
      <c r="AMB43" s="301"/>
      <c r="AMC43" s="301"/>
      <c r="AMD43" s="301"/>
      <c r="AME43" s="301"/>
      <c r="AMF43" s="301"/>
      <c r="AMG43" s="301"/>
      <c r="AMH43" s="301"/>
      <c r="AMI43" s="301"/>
      <c r="AMJ43" s="301"/>
    </row>
    <row r="44" customFormat="false" ht="12.8" hidden="false" customHeight="false" outlineLevel="0" collapsed="false">
      <c r="A44" s="299" t="s">
        <v>219</v>
      </c>
      <c r="B44" s="1"/>
      <c r="C44" s="311" t="str">
        <f aca="false">IF(B44&gt;0,1,"")</f>
        <v/>
      </c>
      <c r="D44" s="310"/>
      <c r="E44" s="311" t="str">
        <f aca="false">IF(D44&gt;0,1,"")</f>
        <v/>
      </c>
      <c r="F44" s="310" t="n">
        <v>0</v>
      </c>
      <c r="G44" s="311" t="str">
        <f aca="false">IF(F44&gt;0,1,"")</f>
        <v/>
      </c>
      <c r="H44" s="310"/>
      <c r="I44" s="311" t="str">
        <f aca="false">IF(H44&gt;0,1,"")</f>
        <v/>
      </c>
      <c r="J44" s="326" t="str">
        <f aca="false">IF(SUM(C44,E44,G44,I44)&gt;1,"ERROR",IF(B44&gt;=1,B44*52,IF(D44&gt;=1,D44*26,IF(F44&gt;=1,F44*12,IF(H44&gt;=1,H44*4,"")))))</f>
        <v/>
      </c>
      <c r="K44" s="301"/>
      <c r="L44" s="301"/>
      <c r="M44" s="301"/>
      <c r="N44" s="301"/>
      <c r="O44" s="301"/>
      <c r="P44" s="301"/>
      <c r="Q44" s="301"/>
      <c r="R44" s="301"/>
      <c r="S44" s="301"/>
      <c r="T44" s="301"/>
      <c r="U44" s="301"/>
      <c r="V44" s="301"/>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301"/>
      <c r="BC44" s="301"/>
      <c r="BD44" s="301"/>
      <c r="BE44" s="301"/>
      <c r="BF44" s="301"/>
      <c r="BG44" s="301"/>
      <c r="BH44" s="301"/>
      <c r="BI44" s="301"/>
      <c r="BJ44" s="301"/>
      <c r="BK44" s="301"/>
      <c r="BL44" s="301"/>
      <c r="BM44" s="301"/>
      <c r="BN44" s="301"/>
      <c r="BO44" s="301"/>
      <c r="BP44" s="301"/>
      <c r="BQ44" s="301"/>
      <c r="BR44" s="301"/>
      <c r="BS44" s="301"/>
      <c r="BT44" s="301"/>
      <c r="BU44" s="301"/>
      <c r="BV44" s="301"/>
      <c r="BW44" s="301"/>
      <c r="BX44" s="301"/>
      <c r="BY44" s="301"/>
      <c r="BZ44" s="301"/>
      <c r="CA44" s="301"/>
      <c r="CB44" s="301"/>
      <c r="CC44" s="301"/>
      <c r="CD44" s="301"/>
      <c r="CE44" s="301"/>
      <c r="CF44" s="301"/>
      <c r="CG44" s="301"/>
      <c r="CH44" s="301"/>
      <c r="CI44" s="301"/>
      <c r="CJ44" s="301"/>
      <c r="CK44" s="301"/>
      <c r="CL44" s="301"/>
      <c r="CM44" s="301"/>
      <c r="CN44" s="301"/>
      <c r="CO44" s="301"/>
      <c r="CP44" s="301"/>
      <c r="CQ44" s="301"/>
      <c r="CR44" s="301"/>
      <c r="CS44" s="301"/>
      <c r="CT44" s="301"/>
      <c r="CU44" s="301"/>
      <c r="CV44" s="301"/>
      <c r="CW44" s="301"/>
      <c r="CX44" s="301"/>
      <c r="CY44" s="301"/>
      <c r="CZ44" s="301"/>
      <c r="DA44" s="301"/>
      <c r="DB44" s="301"/>
      <c r="DC44" s="301"/>
      <c r="DD44" s="301"/>
      <c r="DE44" s="301"/>
      <c r="DF44" s="301"/>
      <c r="DG44" s="301"/>
      <c r="DH44" s="301"/>
      <c r="DI44" s="301"/>
      <c r="DJ44" s="301"/>
      <c r="DK44" s="301"/>
      <c r="DL44" s="301"/>
      <c r="DM44" s="301"/>
      <c r="DN44" s="301"/>
      <c r="DO44" s="301"/>
      <c r="DP44" s="301"/>
      <c r="DQ44" s="301"/>
      <c r="DR44" s="301"/>
      <c r="DS44" s="301"/>
      <c r="DT44" s="301"/>
      <c r="DU44" s="301"/>
      <c r="DV44" s="301"/>
      <c r="DW44" s="301"/>
      <c r="DX44" s="301"/>
      <c r="DY44" s="301"/>
      <c r="DZ44" s="301"/>
      <c r="EA44" s="301"/>
      <c r="EB44" s="301"/>
      <c r="EC44" s="301"/>
      <c r="ED44" s="301"/>
      <c r="EE44" s="301"/>
      <c r="EF44" s="301"/>
      <c r="EG44" s="301"/>
      <c r="EH44" s="301"/>
      <c r="EI44" s="301"/>
      <c r="EJ44" s="301"/>
      <c r="EK44" s="301"/>
      <c r="EL44" s="301"/>
      <c r="EM44" s="301"/>
      <c r="EN44" s="301"/>
      <c r="EO44" s="301"/>
      <c r="EP44" s="301"/>
      <c r="EQ44" s="301"/>
      <c r="ER44" s="301"/>
      <c r="ES44" s="301"/>
      <c r="ET44" s="301"/>
      <c r="EU44" s="301"/>
      <c r="EV44" s="301"/>
      <c r="EW44" s="301"/>
      <c r="EX44" s="301"/>
      <c r="EY44" s="301"/>
      <c r="EZ44" s="301"/>
      <c r="FA44" s="301"/>
      <c r="FB44" s="301"/>
      <c r="FC44" s="301"/>
      <c r="FD44" s="301"/>
      <c r="FE44" s="301"/>
      <c r="FF44" s="301"/>
      <c r="FG44" s="301"/>
      <c r="FH44" s="301"/>
      <c r="FI44" s="301"/>
      <c r="FJ44" s="301"/>
      <c r="FK44" s="301"/>
      <c r="FL44" s="301"/>
      <c r="FM44" s="301"/>
      <c r="FN44" s="301"/>
      <c r="FO44" s="301"/>
      <c r="FP44" s="301"/>
      <c r="FQ44" s="301"/>
      <c r="FR44" s="301"/>
      <c r="FS44" s="301"/>
      <c r="FT44" s="301"/>
      <c r="FU44" s="301"/>
      <c r="FV44" s="301"/>
      <c r="FW44" s="301"/>
      <c r="FX44" s="301"/>
      <c r="FY44" s="301"/>
      <c r="FZ44" s="301"/>
      <c r="GA44" s="301"/>
      <c r="GB44" s="301"/>
      <c r="GC44" s="301"/>
      <c r="GD44" s="301"/>
      <c r="GE44" s="301"/>
      <c r="GF44" s="301"/>
      <c r="GG44" s="301"/>
      <c r="GH44" s="301"/>
      <c r="GI44" s="301"/>
      <c r="GJ44" s="301"/>
      <c r="GK44" s="301"/>
      <c r="GL44" s="301"/>
      <c r="GM44" s="301"/>
      <c r="GN44" s="301"/>
      <c r="GO44" s="301"/>
      <c r="GP44" s="301"/>
      <c r="GQ44" s="301"/>
      <c r="GR44" s="301"/>
      <c r="GS44" s="301"/>
      <c r="GT44" s="301"/>
      <c r="GU44" s="301"/>
      <c r="GV44" s="301"/>
      <c r="GW44" s="301"/>
      <c r="GX44" s="301"/>
      <c r="GY44" s="301"/>
      <c r="GZ44" s="301"/>
      <c r="HA44" s="301"/>
      <c r="HB44" s="301"/>
      <c r="HC44" s="301"/>
      <c r="HD44" s="301"/>
      <c r="HE44" s="301"/>
      <c r="HF44" s="301"/>
      <c r="HG44" s="301"/>
      <c r="HH44" s="301"/>
      <c r="HI44" s="301"/>
      <c r="HJ44" s="301"/>
      <c r="HK44" s="301"/>
      <c r="HL44" s="301"/>
      <c r="HM44" s="301"/>
      <c r="HN44" s="301"/>
      <c r="HO44" s="301"/>
      <c r="HP44" s="301"/>
      <c r="HQ44" s="301"/>
      <c r="HR44" s="301"/>
      <c r="HS44" s="301"/>
      <c r="HT44" s="301"/>
      <c r="HU44" s="301"/>
      <c r="HV44" s="301"/>
      <c r="HW44" s="301"/>
      <c r="HX44" s="301"/>
      <c r="HY44" s="301"/>
      <c r="HZ44" s="301"/>
      <c r="IA44" s="301"/>
      <c r="IB44" s="301"/>
      <c r="IC44" s="301"/>
      <c r="ID44" s="301"/>
      <c r="IE44" s="301"/>
      <c r="IF44" s="301"/>
      <c r="IG44" s="301"/>
      <c r="IH44" s="301"/>
      <c r="II44" s="301"/>
      <c r="IJ44" s="301"/>
      <c r="IK44" s="301"/>
      <c r="IL44" s="301"/>
      <c r="IM44" s="301"/>
      <c r="IN44" s="301"/>
      <c r="IO44" s="301"/>
      <c r="IP44" s="301"/>
      <c r="IQ44" s="301"/>
      <c r="IR44" s="301"/>
      <c r="IS44" s="301"/>
      <c r="IT44" s="301"/>
      <c r="IU44" s="301"/>
      <c r="IV44" s="301"/>
      <c r="IW44" s="301"/>
      <c r="IX44" s="301"/>
      <c r="IY44" s="301"/>
      <c r="IZ44" s="301"/>
      <c r="JA44" s="301"/>
      <c r="JB44" s="301"/>
      <c r="JC44" s="301"/>
      <c r="JD44" s="301"/>
      <c r="JE44" s="301"/>
      <c r="JF44" s="301"/>
      <c r="JG44" s="301"/>
      <c r="JH44" s="301"/>
      <c r="JI44" s="301"/>
      <c r="JJ44" s="301"/>
      <c r="JK44" s="301"/>
      <c r="JL44" s="301"/>
      <c r="JM44" s="301"/>
      <c r="JN44" s="301"/>
      <c r="JO44" s="301"/>
      <c r="JP44" s="301"/>
      <c r="JQ44" s="301"/>
      <c r="JR44" s="301"/>
      <c r="JS44" s="301"/>
      <c r="JT44" s="301"/>
      <c r="JU44" s="301"/>
      <c r="JV44" s="301"/>
      <c r="JW44" s="301"/>
      <c r="JX44" s="301"/>
      <c r="JY44" s="301"/>
      <c r="JZ44" s="301"/>
      <c r="KA44" s="301"/>
      <c r="KB44" s="301"/>
      <c r="KC44" s="301"/>
      <c r="KD44" s="301"/>
      <c r="KE44" s="301"/>
      <c r="KF44" s="301"/>
      <c r="KG44" s="301"/>
      <c r="KH44" s="301"/>
      <c r="KI44" s="301"/>
      <c r="KJ44" s="301"/>
      <c r="KK44" s="301"/>
      <c r="KL44" s="301"/>
      <c r="KM44" s="301"/>
      <c r="KN44" s="301"/>
      <c r="KO44" s="301"/>
      <c r="KP44" s="301"/>
      <c r="KQ44" s="301"/>
      <c r="KR44" s="301"/>
      <c r="KS44" s="301"/>
      <c r="KT44" s="301"/>
      <c r="KU44" s="301"/>
      <c r="KV44" s="301"/>
      <c r="KW44" s="301"/>
      <c r="KX44" s="301"/>
      <c r="KY44" s="301"/>
      <c r="KZ44" s="301"/>
      <c r="LA44" s="301"/>
      <c r="LB44" s="301"/>
      <c r="LC44" s="301"/>
      <c r="LD44" s="301"/>
      <c r="LE44" s="301"/>
      <c r="LF44" s="301"/>
      <c r="LG44" s="301"/>
      <c r="LH44" s="301"/>
      <c r="LI44" s="301"/>
      <c r="LJ44" s="301"/>
      <c r="LK44" s="301"/>
      <c r="LL44" s="301"/>
      <c r="LM44" s="301"/>
      <c r="LN44" s="301"/>
      <c r="LO44" s="301"/>
      <c r="LP44" s="301"/>
      <c r="LQ44" s="301"/>
      <c r="LR44" s="301"/>
      <c r="LS44" s="301"/>
      <c r="LT44" s="301"/>
      <c r="LU44" s="301"/>
      <c r="LV44" s="301"/>
      <c r="LW44" s="301"/>
      <c r="LX44" s="301"/>
      <c r="LY44" s="301"/>
      <c r="LZ44" s="301"/>
      <c r="MA44" s="301"/>
      <c r="MB44" s="301"/>
      <c r="MC44" s="301"/>
      <c r="MD44" s="301"/>
      <c r="ME44" s="301"/>
      <c r="MF44" s="301"/>
      <c r="MG44" s="301"/>
      <c r="MH44" s="301"/>
      <c r="MI44" s="301"/>
      <c r="MJ44" s="301"/>
      <c r="MK44" s="301"/>
      <c r="ML44" s="301"/>
      <c r="MM44" s="301"/>
      <c r="MN44" s="301"/>
      <c r="MO44" s="301"/>
      <c r="MP44" s="301"/>
      <c r="MQ44" s="301"/>
      <c r="MR44" s="301"/>
      <c r="MS44" s="301"/>
      <c r="MT44" s="301"/>
      <c r="MU44" s="301"/>
      <c r="MV44" s="301"/>
      <c r="MW44" s="301"/>
      <c r="MX44" s="301"/>
      <c r="MY44" s="301"/>
      <c r="MZ44" s="301"/>
      <c r="NA44" s="301"/>
      <c r="NB44" s="301"/>
      <c r="NC44" s="301"/>
      <c r="ND44" s="301"/>
      <c r="NE44" s="301"/>
      <c r="NF44" s="301"/>
      <c r="NG44" s="301"/>
      <c r="NH44" s="301"/>
      <c r="NI44" s="301"/>
      <c r="NJ44" s="301"/>
      <c r="NK44" s="301"/>
      <c r="NL44" s="301"/>
      <c r="NM44" s="301"/>
      <c r="NN44" s="301"/>
      <c r="NO44" s="301"/>
      <c r="NP44" s="301"/>
      <c r="NQ44" s="301"/>
      <c r="NR44" s="301"/>
      <c r="NS44" s="301"/>
      <c r="NT44" s="301"/>
      <c r="NU44" s="301"/>
      <c r="NV44" s="301"/>
      <c r="NW44" s="301"/>
      <c r="NX44" s="301"/>
      <c r="NY44" s="301"/>
      <c r="NZ44" s="301"/>
      <c r="OA44" s="301"/>
      <c r="OB44" s="301"/>
      <c r="OC44" s="301"/>
      <c r="OD44" s="301"/>
      <c r="OE44" s="301"/>
      <c r="OF44" s="301"/>
      <c r="OG44" s="301"/>
      <c r="OH44" s="301"/>
      <c r="OI44" s="301"/>
      <c r="OJ44" s="301"/>
      <c r="OK44" s="301"/>
      <c r="OL44" s="301"/>
      <c r="OM44" s="301"/>
      <c r="ON44" s="301"/>
      <c r="OO44" s="301"/>
      <c r="OP44" s="301"/>
      <c r="OQ44" s="301"/>
      <c r="OR44" s="301"/>
      <c r="OS44" s="301"/>
      <c r="OT44" s="301"/>
      <c r="OU44" s="301"/>
      <c r="OV44" s="301"/>
      <c r="OW44" s="301"/>
      <c r="OX44" s="301"/>
      <c r="OY44" s="301"/>
      <c r="OZ44" s="301"/>
      <c r="PA44" s="301"/>
      <c r="PB44" s="301"/>
      <c r="PC44" s="301"/>
      <c r="PD44" s="301"/>
      <c r="PE44" s="301"/>
      <c r="PF44" s="301"/>
      <c r="PG44" s="301"/>
      <c r="PH44" s="301"/>
      <c r="PI44" s="301"/>
      <c r="PJ44" s="301"/>
      <c r="PK44" s="301"/>
      <c r="PL44" s="301"/>
      <c r="PM44" s="301"/>
      <c r="PN44" s="301"/>
      <c r="PO44" s="301"/>
      <c r="PP44" s="301"/>
      <c r="PQ44" s="301"/>
      <c r="PR44" s="301"/>
      <c r="PS44" s="301"/>
      <c r="PT44" s="301"/>
      <c r="PU44" s="301"/>
      <c r="PV44" s="301"/>
      <c r="PW44" s="301"/>
      <c r="PX44" s="301"/>
      <c r="PY44" s="301"/>
      <c r="PZ44" s="301"/>
      <c r="QA44" s="301"/>
      <c r="QB44" s="301"/>
      <c r="QC44" s="301"/>
      <c r="QD44" s="301"/>
      <c r="QE44" s="301"/>
      <c r="QF44" s="301"/>
      <c r="QG44" s="301"/>
      <c r="QH44" s="301"/>
      <c r="QI44" s="301"/>
      <c r="QJ44" s="301"/>
      <c r="QK44" s="301"/>
      <c r="QL44" s="301"/>
      <c r="QM44" s="301"/>
      <c r="QN44" s="301"/>
      <c r="QO44" s="301"/>
      <c r="QP44" s="301"/>
      <c r="QQ44" s="301"/>
      <c r="QR44" s="301"/>
      <c r="QS44" s="301"/>
      <c r="QT44" s="301"/>
      <c r="QU44" s="301"/>
      <c r="QV44" s="301"/>
      <c r="QW44" s="301"/>
      <c r="QX44" s="301"/>
      <c r="QY44" s="301"/>
      <c r="QZ44" s="301"/>
      <c r="RA44" s="301"/>
      <c r="RB44" s="301"/>
      <c r="RC44" s="301"/>
      <c r="RD44" s="301"/>
      <c r="RE44" s="301"/>
      <c r="RF44" s="301"/>
      <c r="RG44" s="301"/>
      <c r="RH44" s="301"/>
      <c r="RI44" s="301"/>
      <c r="RJ44" s="301"/>
      <c r="RK44" s="301"/>
      <c r="RL44" s="301"/>
      <c r="RM44" s="301"/>
      <c r="RN44" s="301"/>
      <c r="RO44" s="301"/>
      <c r="RP44" s="301"/>
      <c r="RQ44" s="301"/>
      <c r="RR44" s="301"/>
      <c r="RS44" s="301"/>
      <c r="RT44" s="301"/>
      <c r="RU44" s="301"/>
      <c r="RV44" s="301"/>
      <c r="RW44" s="301"/>
      <c r="RX44" s="301"/>
      <c r="RY44" s="301"/>
      <c r="RZ44" s="301"/>
      <c r="SA44" s="301"/>
      <c r="SB44" s="301"/>
      <c r="SC44" s="301"/>
      <c r="SD44" s="301"/>
      <c r="SE44" s="301"/>
      <c r="SF44" s="301"/>
      <c r="SG44" s="301"/>
      <c r="SH44" s="301"/>
      <c r="SI44" s="301"/>
      <c r="SJ44" s="301"/>
      <c r="SK44" s="301"/>
      <c r="SL44" s="301"/>
      <c r="SM44" s="301"/>
      <c r="SN44" s="301"/>
      <c r="SO44" s="301"/>
      <c r="SP44" s="301"/>
      <c r="SQ44" s="301"/>
      <c r="SR44" s="301"/>
      <c r="SS44" s="301"/>
      <c r="ST44" s="301"/>
      <c r="SU44" s="301"/>
      <c r="SV44" s="301"/>
      <c r="SW44" s="301"/>
      <c r="SX44" s="301"/>
      <c r="SY44" s="301"/>
      <c r="SZ44" s="301"/>
      <c r="TA44" s="301"/>
      <c r="TB44" s="301"/>
      <c r="TC44" s="301"/>
      <c r="TD44" s="301"/>
      <c r="TE44" s="301"/>
      <c r="TF44" s="301"/>
      <c r="TG44" s="301"/>
      <c r="TH44" s="301"/>
      <c r="TI44" s="301"/>
      <c r="TJ44" s="301"/>
      <c r="TK44" s="301"/>
      <c r="TL44" s="301"/>
      <c r="TM44" s="301"/>
      <c r="TN44" s="301"/>
      <c r="TO44" s="301"/>
      <c r="TP44" s="301"/>
      <c r="TQ44" s="301"/>
      <c r="TR44" s="301"/>
      <c r="TS44" s="301"/>
      <c r="TT44" s="301"/>
      <c r="TU44" s="301"/>
      <c r="TV44" s="301"/>
      <c r="TW44" s="301"/>
      <c r="TX44" s="301"/>
      <c r="TY44" s="301"/>
      <c r="TZ44" s="301"/>
      <c r="UA44" s="301"/>
      <c r="UB44" s="301"/>
      <c r="UC44" s="301"/>
      <c r="UD44" s="301"/>
      <c r="UE44" s="301"/>
      <c r="UF44" s="301"/>
      <c r="UG44" s="301"/>
      <c r="UH44" s="301"/>
      <c r="UI44" s="301"/>
      <c r="UJ44" s="301"/>
      <c r="UK44" s="301"/>
      <c r="UL44" s="301"/>
      <c r="UM44" s="301"/>
      <c r="UN44" s="301"/>
      <c r="UO44" s="301"/>
      <c r="UP44" s="301"/>
      <c r="UQ44" s="301"/>
      <c r="UR44" s="301"/>
      <c r="US44" s="301"/>
      <c r="UT44" s="301"/>
      <c r="UU44" s="301"/>
      <c r="UV44" s="301"/>
      <c r="UW44" s="301"/>
      <c r="UX44" s="301"/>
      <c r="UY44" s="301"/>
      <c r="UZ44" s="301"/>
      <c r="VA44" s="301"/>
      <c r="VB44" s="301"/>
      <c r="VC44" s="301"/>
      <c r="VD44" s="301"/>
      <c r="VE44" s="301"/>
      <c r="VF44" s="301"/>
      <c r="VG44" s="301"/>
      <c r="VH44" s="301"/>
      <c r="VI44" s="301"/>
      <c r="VJ44" s="301"/>
      <c r="VK44" s="301"/>
      <c r="VL44" s="301"/>
      <c r="VM44" s="301"/>
      <c r="VN44" s="301"/>
      <c r="VO44" s="301"/>
      <c r="VP44" s="301"/>
      <c r="VQ44" s="301"/>
      <c r="VR44" s="301"/>
      <c r="VS44" s="301"/>
      <c r="VT44" s="301"/>
      <c r="VU44" s="301"/>
      <c r="VV44" s="301"/>
      <c r="VW44" s="301"/>
      <c r="VX44" s="301"/>
      <c r="VY44" s="301"/>
      <c r="VZ44" s="301"/>
      <c r="WA44" s="301"/>
      <c r="WB44" s="301"/>
      <c r="WC44" s="301"/>
      <c r="WD44" s="301"/>
      <c r="WE44" s="301"/>
      <c r="WF44" s="301"/>
      <c r="WG44" s="301"/>
      <c r="WH44" s="301"/>
      <c r="WI44" s="301"/>
      <c r="WJ44" s="301"/>
      <c r="WK44" s="301"/>
      <c r="WL44" s="301"/>
      <c r="WM44" s="301"/>
      <c r="WN44" s="301"/>
      <c r="WO44" s="301"/>
      <c r="WP44" s="301"/>
      <c r="WQ44" s="301"/>
      <c r="WR44" s="301"/>
      <c r="WS44" s="301"/>
      <c r="WT44" s="301"/>
      <c r="WU44" s="301"/>
      <c r="WV44" s="301"/>
      <c r="WW44" s="301"/>
      <c r="WX44" s="301"/>
      <c r="WY44" s="301"/>
      <c r="WZ44" s="301"/>
      <c r="XA44" s="301"/>
      <c r="XB44" s="301"/>
      <c r="XC44" s="301"/>
      <c r="XD44" s="301"/>
      <c r="XE44" s="301"/>
      <c r="XF44" s="301"/>
      <c r="XG44" s="301"/>
      <c r="XH44" s="301"/>
      <c r="XI44" s="301"/>
      <c r="XJ44" s="301"/>
      <c r="XK44" s="301"/>
      <c r="XL44" s="301"/>
      <c r="XM44" s="301"/>
      <c r="XN44" s="301"/>
      <c r="XO44" s="301"/>
      <c r="XP44" s="301"/>
      <c r="XQ44" s="301"/>
      <c r="XR44" s="301"/>
      <c r="XS44" s="301"/>
      <c r="XT44" s="301"/>
      <c r="XU44" s="301"/>
      <c r="XV44" s="301"/>
      <c r="XW44" s="301"/>
      <c r="XX44" s="301"/>
      <c r="XY44" s="301"/>
      <c r="XZ44" s="301"/>
      <c r="YA44" s="301"/>
      <c r="YB44" s="301"/>
      <c r="YC44" s="301"/>
      <c r="YD44" s="301"/>
      <c r="YE44" s="301"/>
      <c r="YF44" s="301"/>
      <c r="YG44" s="301"/>
      <c r="YH44" s="301"/>
      <c r="YI44" s="301"/>
      <c r="YJ44" s="301"/>
      <c r="YK44" s="301"/>
      <c r="YL44" s="301"/>
      <c r="YM44" s="301"/>
      <c r="YN44" s="301"/>
      <c r="YO44" s="301"/>
      <c r="YP44" s="301"/>
      <c r="YQ44" s="301"/>
      <c r="YR44" s="301"/>
      <c r="YS44" s="301"/>
      <c r="YT44" s="301"/>
      <c r="YU44" s="301"/>
      <c r="YV44" s="301"/>
      <c r="YW44" s="301"/>
      <c r="YX44" s="301"/>
      <c r="YY44" s="301"/>
      <c r="YZ44" s="301"/>
      <c r="ZA44" s="301"/>
      <c r="ZB44" s="301"/>
      <c r="ZC44" s="301"/>
      <c r="ZD44" s="301"/>
      <c r="ZE44" s="301"/>
      <c r="ZF44" s="301"/>
      <c r="ZG44" s="301"/>
      <c r="ZH44" s="301"/>
      <c r="ZI44" s="301"/>
      <c r="ZJ44" s="301"/>
      <c r="ZK44" s="301"/>
      <c r="ZL44" s="301"/>
      <c r="ZM44" s="301"/>
      <c r="ZN44" s="301"/>
      <c r="ZO44" s="301"/>
      <c r="ZP44" s="301"/>
      <c r="ZQ44" s="301"/>
      <c r="ZR44" s="301"/>
      <c r="ZS44" s="301"/>
      <c r="ZT44" s="301"/>
      <c r="ZU44" s="301"/>
      <c r="ZV44" s="301"/>
      <c r="ZW44" s="301"/>
      <c r="ZX44" s="301"/>
      <c r="ZY44" s="301"/>
      <c r="ZZ44" s="301"/>
      <c r="AAA44" s="301"/>
      <c r="AAB44" s="301"/>
      <c r="AAC44" s="301"/>
      <c r="AAD44" s="301"/>
      <c r="AAE44" s="301"/>
      <c r="AAF44" s="301"/>
      <c r="AAG44" s="301"/>
      <c r="AAH44" s="301"/>
      <c r="AAI44" s="301"/>
      <c r="AAJ44" s="301"/>
      <c r="AAK44" s="301"/>
      <c r="AAL44" s="301"/>
      <c r="AAM44" s="301"/>
      <c r="AAN44" s="301"/>
      <c r="AAO44" s="301"/>
      <c r="AAP44" s="301"/>
      <c r="AAQ44" s="301"/>
      <c r="AAR44" s="301"/>
      <c r="AAS44" s="301"/>
      <c r="AAT44" s="301"/>
      <c r="AAU44" s="301"/>
      <c r="AAV44" s="301"/>
      <c r="AAW44" s="301"/>
      <c r="AAX44" s="301"/>
      <c r="AAY44" s="301"/>
      <c r="AAZ44" s="301"/>
      <c r="ABA44" s="301"/>
      <c r="ABB44" s="301"/>
      <c r="ABC44" s="301"/>
      <c r="ABD44" s="301"/>
      <c r="ABE44" s="301"/>
      <c r="ABF44" s="301"/>
      <c r="ABG44" s="301"/>
      <c r="ABH44" s="301"/>
      <c r="ABI44" s="301"/>
      <c r="ABJ44" s="301"/>
      <c r="ABK44" s="301"/>
      <c r="ABL44" s="301"/>
      <c r="ABM44" s="301"/>
      <c r="ABN44" s="301"/>
      <c r="ABO44" s="301"/>
      <c r="ABP44" s="301"/>
      <c r="ABQ44" s="301"/>
      <c r="ABR44" s="301"/>
      <c r="ABS44" s="301"/>
      <c r="ABT44" s="301"/>
      <c r="ABU44" s="301"/>
      <c r="ABV44" s="301"/>
      <c r="ABW44" s="301"/>
      <c r="ABX44" s="301"/>
      <c r="ABY44" s="301"/>
      <c r="ABZ44" s="301"/>
      <c r="ACA44" s="301"/>
      <c r="ACB44" s="301"/>
      <c r="ACC44" s="301"/>
      <c r="ACD44" s="301"/>
      <c r="ACE44" s="301"/>
      <c r="ACF44" s="301"/>
      <c r="ACG44" s="301"/>
      <c r="ACH44" s="301"/>
      <c r="ACI44" s="301"/>
      <c r="ACJ44" s="301"/>
      <c r="ACK44" s="301"/>
      <c r="ACL44" s="301"/>
      <c r="ACM44" s="301"/>
      <c r="ACN44" s="301"/>
      <c r="ACO44" s="301"/>
      <c r="ACP44" s="301"/>
      <c r="ACQ44" s="301"/>
      <c r="ACR44" s="301"/>
      <c r="ACS44" s="301"/>
      <c r="ACT44" s="301"/>
      <c r="ACU44" s="301"/>
      <c r="ACV44" s="301"/>
      <c r="ACW44" s="301"/>
      <c r="ACX44" s="301"/>
      <c r="ACY44" s="301"/>
      <c r="ACZ44" s="301"/>
      <c r="ADA44" s="301"/>
      <c r="ADB44" s="301"/>
      <c r="ADC44" s="301"/>
      <c r="ADD44" s="301"/>
      <c r="ADE44" s="301"/>
      <c r="ADF44" s="301"/>
      <c r="ADG44" s="301"/>
      <c r="ADH44" s="301"/>
      <c r="ADI44" s="301"/>
      <c r="ADJ44" s="301"/>
      <c r="ADK44" s="301"/>
      <c r="ADL44" s="301"/>
      <c r="ADM44" s="301"/>
      <c r="ADN44" s="301"/>
      <c r="ADO44" s="301"/>
      <c r="ADP44" s="301"/>
      <c r="ADQ44" s="301"/>
      <c r="ADR44" s="301"/>
      <c r="ADS44" s="301"/>
      <c r="ADT44" s="301"/>
      <c r="ADU44" s="301"/>
      <c r="ADV44" s="301"/>
      <c r="ADW44" s="301"/>
      <c r="ADX44" s="301"/>
      <c r="ADY44" s="301"/>
      <c r="ADZ44" s="301"/>
      <c r="AEA44" s="301"/>
      <c r="AEB44" s="301"/>
      <c r="AEC44" s="301"/>
      <c r="AED44" s="301"/>
      <c r="AEE44" s="301"/>
      <c r="AEF44" s="301"/>
      <c r="AEG44" s="301"/>
      <c r="AEH44" s="301"/>
      <c r="AEI44" s="301"/>
      <c r="AEJ44" s="301"/>
      <c r="AEK44" s="301"/>
      <c r="AEL44" s="301"/>
      <c r="AEM44" s="301"/>
      <c r="AEN44" s="301"/>
      <c r="AEO44" s="301"/>
      <c r="AEP44" s="301"/>
      <c r="AEQ44" s="301"/>
      <c r="AER44" s="301"/>
      <c r="AES44" s="301"/>
      <c r="AET44" s="301"/>
      <c r="AEU44" s="301"/>
      <c r="AEV44" s="301"/>
      <c r="AEW44" s="301"/>
      <c r="AEX44" s="301"/>
      <c r="AEY44" s="301"/>
      <c r="AEZ44" s="301"/>
      <c r="AFA44" s="301"/>
      <c r="AFB44" s="301"/>
      <c r="AFC44" s="301"/>
      <c r="AFD44" s="301"/>
      <c r="AFE44" s="301"/>
      <c r="AFF44" s="301"/>
      <c r="AFG44" s="301"/>
      <c r="AFH44" s="301"/>
      <c r="AFI44" s="301"/>
      <c r="AFJ44" s="301"/>
      <c r="AFK44" s="301"/>
      <c r="AFL44" s="301"/>
      <c r="AFM44" s="301"/>
      <c r="AFN44" s="301"/>
      <c r="AFO44" s="301"/>
      <c r="AFP44" s="301"/>
      <c r="AFQ44" s="301"/>
      <c r="AFR44" s="301"/>
      <c r="AFS44" s="301"/>
      <c r="AFT44" s="301"/>
      <c r="AFU44" s="301"/>
      <c r="AFV44" s="301"/>
      <c r="AFW44" s="301"/>
      <c r="AFX44" s="301"/>
      <c r="AFY44" s="301"/>
      <c r="AFZ44" s="301"/>
      <c r="AGA44" s="301"/>
      <c r="AGB44" s="301"/>
      <c r="AGC44" s="301"/>
      <c r="AGD44" s="301"/>
      <c r="AGE44" s="301"/>
      <c r="AGF44" s="301"/>
      <c r="AGG44" s="301"/>
      <c r="AGH44" s="301"/>
      <c r="AGI44" s="301"/>
      <c r="AGJ44" s="301"/>
      <c r="AGK44" s="301"/>
      <c r="AGL44" s="301"/>
      <c r="AGM44" s="301"/>
      <c r="AGN44" s="301"/>
      <c r="AGO44" s="301"/>
      <c r="AGP44" s="301"/>
      <c r="AGQ44" s="301"/>
      <c r="AGR44" s="301"/>
      <c r="AGS44" s="301"/>
      <c r="AGT44" s="301"/>
      <c r="AGU44" s="301"/>
      <c r="AGV44" s="301"/>
      <c r="AGW44" s="301"/>
      <c r="AGX44" s="301"/>
      <c r="AGY44" s="301"/>
      <c r="AGZ44" s="301"/>
      <c r="AHA44" s="301"/>
      <c r="AHB44" s="301"/>
      <c r="AHC44" s="301"/>
      <c r="AHD44" s="301"/>
      <c r="AHE44" s="301"/>
      <c r="AHF44" s="301"/>
      <c r="AHG44" s="301"/>
      <c r="AHH44" s="301"/>
      <c r="AHI44" s="301"/>
      <c r="AHJ44" s="301"/>
      <c r="AHK44" s="301"/>
      <c r="AHL44" s="301"/>
      <c r="AHM44" s="301"/>
      <c r="AHN44" s="301"/>
      <c r="AHO44" s="301"/>
      <c r="AHP44" s="301"/>
      <c r="AHQ44" s="301"/>
      <c r="AHR44" s="301"/>
      <c r="AHS44" s="301"/>
      <c r="AHT44" s="301"/>
      <c r="AHU44" s="301"/>
      <c r="AHV44" s="301"/>
      <c r="AHW44" s="301"/>
      <c r="AHX44" s="301"/>
      <c r="AHY44" s="301"/>
      <c r="AHZ44" s="301"/>
      <c r="AIA44" s="301"/>
      <c r="AIB44" s="301"/>
      <c r="AIC44" s="301"/>
      <c r="AID44" s="301"/>
      <c r="AIE44" s="301"/>
      <c r="AIF44" s="301"/>
      <c r="AIG44" s="301"/>
      <c r="AIH44" s="301"/>
      <c r="AII44" s="301"/>
      <c r="AIJ44" s="301"/>
      <c r="AIK44" s="301"/>
      <c r="AIL44" s="301"/>
      <c r="AIM44" s="301"/>
      <c r="AIN44" s="301"/>
      <c r="AIO44" s="301"/>
      <c r="AIP44" s="301"/>
      <c r="AIQ44" s="301"/>
      <c r="AIR44" s="301"/>
      <c r="AIS44" s="301"/>
      <c r="AIT44" s="301"/>
      <c r="AIU44" s="301"/>
      <c r="AIV44" s="301"/>
      <c r="AIW44" s="301"/>
      <c r="AIX44" s="301"/>
      <c r="AIY44" s="301"/>
      <c r="AIZ44" s="301"/>
      <c r="AJA44" s="301"/>
      <c r="AJB44" s="301"/>
      <c r="AJC44" s="301"/>
      <c r="AJD44" s="301"/>
      <c r="AJE44" s="301"/>
      <c r="AJF44" s="301"/>
      <c r="AJG44" s="301"/>
      <c r="AJH44" s="301"/>
      <c r="AJI44" s="301"/>
      <c r="AJJ44" s="301"/>
      <c r="AJK44" s="301"/>
      <c r="AJL44" s="301"/>
      <c r="AJM44" s="301"/>
      <c r="AJN44" s="301"/>
      <c r="AJO44" s="301"/>
      <c r="AJP44" s="301"/>
      <c r="AJQ44" s="301"/>
      <c r="AJR44" s="301"/>
      <c r="AJS44" s="301"/>
      <c r="AJT44" s="301"/>
      <c r="AJU44" s="301"/>
      <c r="AJV44" s="301"/>
      <c r="AJW44" s="301"/>
      <c r="AJX44" s="301"/>
      <c r="AJY44" s="301"/>
      <c r="AJZ44" s="301"/>
      <c r="AKA44" s="301"/>
      <c r="AKB44" s="301"/>
      <c r="AKC44" s="301"/>
      <c r="AKD44" s="301"/>
      <c r="AKE44" s="301"/>
      <c r="AKF44" s="301"/>
      <c r="AKG44" s="301"/>
      <c r="AKH44" s="301"/>
      <c r="AKI44" s="301"/>
      <c r="AKJ44" s="301"/>
      <c r="AKK44" s="301"/>
      <c r="AKL44" s="301"/>
      <c r="AKM44" s="301"/>
      <c r="AKN44" s="301"/>
      <c r="AKO44" s="301"/>
      <c r="AKP44" s="301"/>
      <c r="AKQ44" s="301"/>
      <c r="AKR44" s="301"/>
      <c r="AKS44" s="301"/>
      <c r="AKT44" s="301"/>
      <c r="AKU44" s="301"/>
      <c r="AKV44" s="301"/>
      <c r="AKW44" s="301"/>
      <c r="AKX44" s="301"/>
      <c r="AKY44" s="301"/>
      <c r="AKZ44" s="301"/>
      <c r="ALA44" s="301"/>
      <c r="ALB44" s="301"/>
      <c r="ALC44" s="301"/>
      <c r="ALD44" s="301"/>
      <c r="ALE44" s="301"/>
      <c r="ALF44" s="301"/>
      <c r="ALG44" s="301"/>
      <c r="ALH44" s="301"/>
      <c r="ALI44" s="301"/>
      <c r="ALJ44" s="301"/>
      <c r="ALK44" s="301"/>
      <c r="ALL44" s="301"/>
      <c r="ALM44" s="301"/>
      <c r="ALN44" s="301"/>
      <c r="ALO44" s="301"/>
      <c r="ALP44" s="301"/>
      <c r="ALQ44" s="301"/>
      <c r="ALR44" s="301"/>
      <c r="ALS44" s="301"/>
      <c r="ALT44" s="301"/>
      <c r="ALU44" s="301"/>
      <c r="ALV44" s="301"/>
      <c r="ALW44" s="301"/>
      <c r="ALX44" s="301"/>
      <c r="ALY44" s="301"/>
      <c r="ALZ44" s="301"/>
      <c r="AMA44" s="301"/>
      <c r="AMB44" s="301"/>
      <c r="AMC44" s="301"/>
      <c r="AMD44" s="301"/>
      <c r="AME44" s="301"/>
      <c r="AMF44" s="301"/>
      <c r="AMG44" s="301"/>
      <c r="AMH44" s="301"/>
      <c r="AMI44" s="301"/>
      <c r="AMJ44" s="301"/>
    </row>
    <row r="45" customFormat="false" ht="12.8" hidden="false" customHeight="false" outlineLevel="0" collapsed="false">
      <c r="A45" s="299" t="s">
        <v>220</v>
      </c>
      <c r="B45" s="1"/>
      <c r="C45" s="311" t="str">
        <f aca="false">IF(B45&gt;0,1,"")</f>
        <v/>
      </c>
      <c r="D45" s="310"/>
      <c r="E45" s="311" t="str">
        <f aca="false">IF(D45&gt;0,1,"")</f>
        <v/>
      </c>
      <c r="F45" s="310" t="n">
        <v>0</v>
      </c>
      <c r="G45" s="311" t="str">
        <f aca="false">IF(F45&gt;0,1,"")</f>
        <v/>
      </c>
      <c r="H45" s="310"/>
      <c r="I45" s="311" t="str">
        <f aca="false">IF(H45&gt;0,1,"")</f>
        <v/>
      </c>
      <c r="J45" s="326" t="str">
        <f aca="false">IF(SUM(C45,E45,G45,I45)&gt;1,"ERROR",IF(B45&gt;=1,B45*52,IF(D45&gt;=1,D45*26,IF(F45&gt;=1,F45*12,IF(H45&gt;=1,H45*4,"")))))</f>
        <v/>
      </c>
      <c r="K45" s="301"/>
      <c r="L45" s="301"/>
      <c r="M45" s="301"/>
      <c r="N45" s="301"/>
      <c r="O45" s="301"/>
      <c r="P45" s="301"/>
      <c r="Q45" s="30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Q45" s="301"/>
      <c r="BR45" s="301"/>
      <c r="BS45" s="301"/>
      <c r="BT45" s="301"/>
      <c r="BU45" s="301"/>
      <c r="BV45" s="301"/>
      <c r="BW45" s="301"/>
      <c r="BX45" s="301"/>
      <c r="BY45" s="301"/>
      <c r="BZ45" s="301"/>
      <c r="CA45" s="301"/>
      <c r="CB45" s="301"/>
      <c r="CC45" s="301"/>
      <c r="CD45" s="301"/>
      <c r="CE45" s="301"/>
      <c r="CF45" s="301"/>
      <c r="CG45" s="301"/>
      <c r="CH45" s="301"/>
      <c r="CI45" s="301"/>
      <c r="CJ45" s="301"/>
      <c r="CK45" s="301"/>
      <c r="CL45" s="301"/>
      <c r="CM45" s="301"/>
      <c r="CN45" s="301"/>
      <c r="CO45" s="301"/>
      <c r="CP45" s="301"/>
      <c r="CQ45" s="301"/>
      <c r="CR45" s="301"/>
      <c r="CS45" s="301"/>
      <c r="CT45" s="301"/>
      <c r="CU45" s="301"/>
      <c r="CV45" s="301"/>
      <c r="CW45" s="301"/>
      <c r="CX45" s="301"/>
      <c r="CY45" s="301"/>
      <c r="CZ45" s="301"/>
      <c r="DA45" s="301"/>
      <c r="DB45" s="301"/>
      <c r="DC45" s="301"/>
      <c r="DD45" s="301"/>
      <c r="DE45" s="301"/>
      <c r="DF45" s="301"/>
      <c r="DG45" s="301"/>
      <c r="DH45" s="301"/>
      <c r="DI45" s="301"/>
      <c r="DJ45" s="301"/>
      <c r="DK45" s="301"/>
      <c r="DL45" s="301"/>
      <c r="DM45" s="301"/>
      <c r="DN45" s="301"/>
      <c r="DO45" s="301"/>
      <c r="DP45" s="301"/>
      <c r="DQ45" s="301"/>
      <c r="DR45" s="301"/>
      <c r="DS45" s="301"/>
      <c r="DT45" s="301"/>
      <c r="DU45" s="301"/>
      <c r="DV45" s="301"/>
      <c r="DW45" s="301"/>
      <c r="DX45" s="301"/>
      <c r="DY45" s="301"/>
      <c r="DZ45" s="301"/>
      <c r="EA45" s="301"/>
      <c r="EB45" s="301"/>
      <c r="EC45" s="301"/>
      <c r="ED45" s="301"/>
      <c r="EE45" s="301"/>
      <c r="EF45" s="301"/>
      <c r="EG45" s="301"/>
      <c r="EH45" s="301"/>
      <c r="EI45" s="301"/>
      <c r="EJ45" s="301"/>
      <c r="EK45" s="301"/>
      <c r="EL45" s="301"/>
      <c r="EM45" s="301"/>
      <c r="EN45" s="301"/>
      <c r="EO45" s="301"/>
      <c r="EP45" s="301"/>
      <c r="EQ45" s="301"/>
      <c r="ER45" s="301"/>
      <c r="ES45" s="301"/>
      <c r="ET45" s="301"/>
      <c r="EU45" s="301"/>
      <c r="EV45" s="301"/>
      <c r="EW45" s="301"/>
      <c r="EX45" s="301"/>
      <c r="EY45" s="301"/>
      <c r="EZ45" s="301"/>
      <c r="FA45" s="301"/>
      <c r="FB45" s="301"/>
      <c r="FC45" s="301"/>
      <c r="FD45" s="301"/>
      <c r="FE45" s="301"/>
      <c r="FF45" s="301"/>
      <c r="FG45" s="301"/>
      <c r="FH45" s="301"/>
      <c r="FI45" s="301"/>
      <c r="FJ45" s="301"/>
      <c r="FK45" s="301"/>
      <c r="FL45" s="301"/>
      <c r="FM45" s="301"/>
      <c r="FN45" s="301"/>
      <c r="FO45" s="301"/>
      <c r="FP45" s="301"/>
      <c r="FQ45" s="301"/>
      <c r="FR45" s="301"/>
      <c r="FS45" s="301"/>
      <c r="FT45" s="301"/>
      <c r="FU45" s="301"/>
      <c r="FV45" s="301"/>
      <c r="FW45" s="301"/>
      <c r="FX45" s="301"/>
      <c r="FY45" s="301"/>
      <c r="FZ45" s="301"/>
      <c r="GA45" s="301"/>
      <c r="GB45" s="301"/>
      <c r="GC45" s="301"/>
      <c r="GD45" s="301"/>
      <c r="GE45" s="301"/>
      <c r="GF45" s="301"/>
      <c r="GG45" s="301"/>
      <c r="GH45" s="301"/>
      <c r="GI45" s="301"/>
      <c r="GJ45" s="301"/>
      <c r="GK45" s="301"/>
      <c r="GL45" s="301"/>
      <c r="GM45" s="301"/>
      <c r="GN45" s="301"/>
      <c r="GO45" s="301"/>
      <c r="GP45" s="301"/>
      <c r="GQ45" s="301"/>
      <c r="GR45" s="301"/>
      <c r="GS45" s="301"/>
      <c r="GT45" s="301"/>
      <c r="GU45" s="301"/>
      <c r="GV45" s="301"/>
      <c r="GW45" s="301"/>
      <c r="GX45" s="301"/>
      <c r="GY45" s="301"/>
      <c r="GZ45" s="301"/>
      <c r="HA45" s="301"/>
      <c r="HB45" s="301"/>
      <c r="HC45" s="301"/>
      <c r="HD45" s="301"/>
      <c r="HE45" s="301"/>
      <c r="HF45" s="301"/>
      <c r="HG45" s="301"/>
      <c r="HH45" s="301"/>
      <c r="HI45" s="301"/>
      <c r="HJ45" s="301"/>
      <c r="HK45" s="301"/>
      <c r="HL45" s="301"/>
      <c r="HM45" s="301"/>
      <c r="HN45" s="301"/>
      <c r="HO45" s="301"/>
      <c r="HP45" s="301"/>
      <c r="HQ45" s="301"/>
      <c r="HR45" s="301"/>
      <c r="HS45" s="301"/>
      <c r="HT45" s="301"/>
      <c r="HU45" s="301"/>
      <c r="HV45" s="301"/>
      <c r="HW45" s="301"/>
      <c r="HX45" s="301"/>
      <c r="HY45" s="301"/>
      <c r="HZ45" s="301"/>
      <c r="IA45" s="301"/>
      <c r="IB45" s="301"/>
      <c r="IC45" s="301"/>
      <c r="ID45" s="301"/>
      <c r="IE45" s="301"/>
      <c r="IF45" s="301"/>
      <c r="IG45" s="301"/>
      <c r="IH45" s="301"/>
      <c r="II45" s="301"/>
      <c r="IJ45" s="301"/>
      <c r="IK45" s="301"/>
      <c r="IL45" s="301"/>
      <c r="IM45" s="301"/>
      <c r="IN45" s="301"/>
      <c r="IO45" s="301"/>
      <c r="IP45" s="301"/>
      <c r="IQ45" s="301"/>
      <c r="IR45" s="301"/>
      <c r="IS45" s="301"/>
      <c r="IT45" s="301"/>
      <c r="IU45" s="301"/>
      <c r="IV45" s="301"/>
      <c r="IW45" s="301"/>
      <c r="IX45" s="301"/>
      <c r="IY45" s="301"/>
      <c r="IZ45" s="301"/>
      <c r="JA45" s="301"/>
      <c r="JB45" s="301"/>
      <c r="JC45" s="301"/>
      <c r="JD45" s="301"/>
      <c r="JE45" s="301"/>
      <c r="JF45" s="301"/>
      <c r="JG45" s="301"/>
      <c r="JH45" s="301"/>
      <c r="JI45" s="301"/>
      <c r="JJ45" s="301"/>
      <c r="JK45" s="301"/>
      <c r="JL45" s="301"/>
      <c r="JM45" s="301"/>
      <c r="JN45" s="301"/>
      <c r="JO45" s="301"/>
      <c r="JP45" s="301"/>
      <c r="JQ45" s="301"/>
      <c r="JR45" s="301"/>
      <c r="JS45" s="301"/>
      <c r="JT45" s="301"/>
      <c r="JU45" s="301"/>
      <c r="JV45" s="301"/>
      <c r="JW45" s="301"/>
      <c r="JX45" s="301"/>
      <c r="JY45" s="301"/>
      <c r="JZ45" s="301"/>
      <c r="KA45" s="301"/>
      <c r="KB45" s="301"/>
      <c r="KC45" s="301"/>
      <c r="KD45" s="301"/>
      <c r="KE45" s="301"/>
      <c r="KF45" s="301"/>
      <c r="KG45" s="301"/>
      <c r="KH45" s="301"/>
      <c r="KI45" s="301"/>
      <c r="KJ45" s="301"/>
      <c r="KK45" s="301"/>
      <c r="KL45" s="301"/>
      <c r="KM45" s="301"/>
      <c r="KN45" s="301"/>
      <c r="KO45" s="301"/>
      <c r="KP45" s="301"/>
      <c r="KQ45" s="301"/>
      <c r="KR45" s="301"/>
      <c r="KS45" s="301"/>
      <c r="KT45" s="301"/>
      <c r="KU45" s="301"/>
      <c r="KV45" s="301"/>
      <c r="KW45" s="301"/>
      <c r="KX45" s="301"/>
      <c r="KY45" s="301"/>
      <c r="KZ45" s="301"/>
      <c r="LA45" s="301"/>
      <c r="LB45" s="301"/>
      <c r="LC45" s="301"/>
      <c r="LD45" s="301"/>
      <c r="LE45" s="301"/>
      <c r="LF45" s="301"/>
      <c r="LG45" s="301"/>
      <c r="LH45" s="301"/>
      <c r="LI45" s="301"/>
      <c r="LJ45" s="301"/>
      <c r="LK45" s="301"/>
      <c r="LL45" s="301"/>
      <c r="LM45" s="301"/>
      <c r="LN45" s="301"/>
      <c r="LO45" s="301"/>
      <c r="LP45" s="301"/>
      <c r="LQ45" s="301"/>
      <c r="LR45" s="301"/>
      <c r="LS45" s="301"/>
      <c r="LT45" s="301"/>
      <c r="LU45" s="301"/>
      <c r="LV45" s="301"/>
      <c r="LW45" s="301"/>
      <c r="LX45" s="301"/>
      <c r="LY45" s="301"/>
      <c r="LZ45" s="301"/>
      <c r="MA45" s="301"/>
      <c r="MB45" s="301"/>
      <c r="MC45" s="301"/>
      <c r="MD45" s="301"/>
      <c r="ME45" s="301"/>
      <c r="MF45" s="301"/>
      <c r="MG45" s="301"/>
      <c r="MH45" s="301"/>
      <c r="MI45" s="301"/>
      <c r="MJ45" s="301"/>
      <c r="MK45" s="301"/>
      <c r="ML45" s="301"/>
      <c r="MM45" s="301"/>
      <c r="MN45" s="301"/>
      <c r="MO45" s="301"/>
      <c r="MP45" s="301"/>
      <c r="MQ45" s="301"/>
      <c r="MR45" s="301"/>
      <c r="MS45" s="301"/>
      <c r="MT45" s="301"/>
      <c r="MU45" s="301"/>
      <c r="MV45" s="301"/>
      <c r="MW45" s="301"/>
      <c r="MX45" s="301"/>
      <c r="MY45" s="301"/>
      <c r="MZ45" s="301"/>
      <c r="NA45" s="301"/>
      <c r="NB45" s="301"/>
      <c r="NC45" s="301"/>
      <c r="ND45" s="301"/>
      <c r="NE45" s="301"/>
      <c r="NF45" s="301"/>
      <c r="NG45" s="301"/>
      <c r="NH45" s="301"/>
      <c r="NI45" s="301"/>
      <c r="NJ45" s="301"/>
      <c r="NK45" s="301"/>
      <c r="NL45" s="301"/>
      <c r="NM45" s="301"/>
      <c r="NN45" s="301"/>
      <c r="NO45" s="301"/>
      <c r="NP45" s="301"/>
      <c r="NQ45" s="301"/>
      <c r="NR45" s="301"/>
      <c r="NS45" s="301"/>
      <c r="NT45" s="301"/>
      <c r="NU45" s="301"/>
      <c r="NV45" s="301"/>
      <c r="NW45" s="301"/>
      <c r="NX45" s="301"/>
      <c r="NY45" s="301"/>
      <c r="NZ45" s="301"/>
      <c r="OA45" s="301"/>
      <c r="OB45" s="301"/>
      <c r="OC45" s="301"/>
      <c r="OD45" s="301"/>
      <c r="OE45" s="301"/>
      <c r="OF45" s="301"/>
      <c r="OG45" s="301"/>
      <c r="OH45" s="301"/>
      <c r="OI45" s="301"/>
      <c r="OJ45" s="301"/>
      <c r="OK45" s="301"/>
      <c r="OL45" s="301"/>
      <c r="OM45" s="301"/>
      <c r="ON45" s="301"/>
      <c r="OO45" s="301"/>
      <c r="OP45" s="301"/>
      <c r="OQ45" s="301"/>
      <c r="OR45" s="301"/>
      <c r="OS45" s="301"/>
      <c r="OT45" s="301"/>
      <c r="OU45" s="301"/>
      <c r="OV45" s="301"/>
      <c r="OW45" s="301"/>
      <c r="OX45" s="301"/>
      <c r="OY45" s="301"/>
      <c r="OZ45" s="301"/>
      <c r="PA45" s="301"/>
      <c r="PB45" s="301"/>
      <c r="PC45" s="301"/>
      <c r="PD45" s="301"/>
      <c r="PE45" s="301"/>
      <c r="PF45" s="301"/>
      <c r="PG45" s="301"/>
      <c r="PH45" s="301"/>
      <c r="PI45" s="301"/>
      <c r="PJ45" s="301"/>
      <c r="PK45" s="301"/>
      <c r="PL45" s="301"/>
      <c r="PM45" s="301"/>
      <c r="PN45" s="301"/>
      <c r="PO45" s="301"/>
      <c r="PP45" s="301"/>
      <c r="PQ45" s="301"/>
      <c r="PR45" s="301"/>
      <c r="PS45" s="301"/>
      <c r="PT45" s="301"/>
      <c r="PU45" s="301"/>
      <c r="PV45" s="301"/>
      <c r="PW45" s="301"/>
      <c r="PX45" s="301"/>
      <c r="PY45" s="301"/>
      <c r="PZ45" s="301"/>
      <c r="QA45" s="301"/>
      <c r="QB45" s="301"/>
      <c r="QC45" s="301"/>
      <c r="QD45" s="301"/>
      <c r="QE45" s="301"/>
      <c r="QF45" s="301"/>
      <c r="QG45" s="301"/>
      <c r="QH45" s="301"/>
      <c r="QI45" s="301"/>
      <c r="QJ45" s="301"/>
      <c r="QK45" s="301"/>
      <c r="QL45" s="301"/>
      <c r="QM45" s="301"/>
      <c r="QN45" s="301"/>
      <c r="QO45" s="301"/>
      <c r="QP45" s="301"/>
      <c r="QQ45" s="301"/>
      <c r="QR45" s="301"/>
      <c r="QS45" s="301"/>
      <c r="QT45" s="301"/>
      <c r="QU45" s="301"/>
      <c r="QV45" s="301"/>
      <c r="QW45" s="301"/>
      <c r="QX45" s="301"/>
      <c r="QY45" s="301"/>
      <c r="QZ45" s="301"/>
      <c r="RA45" s="301"/>
      <c r="RB45" s="301"/>
      <c r="RC45" s="301"/>
      <c r="RD45" s="301"/>
      <c r="RE45" s="301"/>
      <c r="RF45" s="301"/>
      <c r="RG45" s="301"/>
      <c r="RH45" s="301"/>
      <c r="RI45" s="301"/>
      <c r="RJ45" s="301"/>
      <c r="RK45" s="301"/>
      <c r="RL45" s="301"/>
      <c r="RM45" s="301"/>
      <c r="RN45" s="301"/>
      <c r="RO45" s="301"/>
      <c r="RP45" s="301"/>
      <c r="RQ45" s="301"/>
      <c r="RR45" s="301"/>
      <c r="RS45" s="301"/>
      <c r="RT45" s="301"/>
      <c r="RU45" s="301"/>
      <c r="RV45" s="301"/>
      <c r="RW45" s="301"/>
      <c r="RX45" s="301"/>
      <c r="RY45" s="301"/>
      <c r="RZ45" s="301"/>
      <c r="SA45" s="301"/>
      <c r="SB45" s="301"/>
      <c r="SC45" s="301"/>
      <c r="SD45" s="301"/>
      <c r="SE45" s="301"/>
      <c r="SF45" s="301"/>
      <c r="SG45" s="301"/>
      <c r="SH45" s="301"/>
      <c r="SI45" s="301"/>
      <c r="SJ45" s="301"/>
      <c r="SK45" s="301"/>
      <c r="SL45" s="301"/>
      <c r="SM45" s="301"/>
      <c r="SN45" s="301"/>
      <c r="SO45" s="301"/>
      <c r="SP45" s="301"/>
      <c r="SQ45" s="301"/>
      <c r="SR45" s="301"/>
      <c r="SS45" s="301"/>
      <c r="ST45" s="301"/>
      <c r="SU45" s="301"/>
      <c r="SV45" s="301"/>
      <c r="SW45" s="301"/>
      <c r="SX45" s="301"/>
      <c r="SY45" s="301"/>
      <c r="SZ45" s="301"/>
      <c r="TA45" s="301"/>
      <c r="TB45" s="301"/>
      <c r="TC45" s="301"/>
      <c r="TD45" s="301"/>
      <c r="TE45" s="301"/>
      <c r="TF45" s="301"/>
      <c r="TG45" s="301"/>
      <c r="TH45" s="301"/>
      <c r="TI45" s="301"/>
      <c r="TJ45" s="301"/>
      <c r="TK45" s="301"/>
      <c r="TL45" s="301"/>
      <c r="TM45" s="301"/>
      <c r="TN45" s="301"/>
      <c r="TO45" s="301"/>
      <c r="TP45" s="301"/>
      <c r="TQ45" s="301"/>
      <c r="TR45" s="301"/>
      <c r="TS45" s="301"/>
      <c r="TT45" s="301"/>
      <c r="TU45" s="301"/>
      <c r="TV45" s="301"/>
      <c r="TW45" s="301"/>
      <c r="TX45" s="301"/>
      <c r="TY45" s="301"/>
      <c r="TZ45" s="301"/>
      <c r="UA45" s="301"/>
      <c r="UB45" s="301"/>
      <c r="UC45" s="301"/>
      <c r="UD45" s="301"/>
      <c r="UE45" s="301"/>
      <c r="UF45" s="301"/>
      <c r="UG45" s="301"/>
      <c r="UH45" s="301"/>
      <c r="UI45" s="301"/>
      <c r="UJ45" s="301"/>
      <c r="UK45" s="301"/>
      <c r="UL45" s="301"/>
      <c r="UM45" s="301"/>
      <c r="UN45" s="301"/>
      <c r="UO45" s="301"/>
      <c r="UP45" s="301"/>
      <c r="UQ45" s="301"/>
      <c r="UR45" s="301"/>
      <c r="US45" s="301"/>
      <c r="UT45" s="301"/>
      <c r="UU45" s="301"/>
      <c r="UV45" s="301"/>
      <c r="UW45" s="301"/>
      <c r="UX45" s="301"/>
      <c r="UY45" s="301"/>
      <c r="UZ45" s="301"/>
      <c r="VA45" s="301"/>
      <c r="VB45" s="301"/>
      <c r="VC45" s="301"/>
      <c r="VD45" s="301"/>
      <c r="VE45" s="301"/>
      <c r="VF45" s="301"/>
      <c r="VG45" s="301"/>
      <c r="VH45" s="301"/>
      <c r="VI45" s="301"/>
      <c r="VJ45" s="301"/>
      <c r="VK45" s="301"/>
      <c r="VL45" s="301"/>
      <c r="VM45" s="301"/>
      <c r="VN45" s="301"/>
      <c r="VO45" s="301"/>
      <c r="VP45" s="301"/>
      <c r="VQ45" s="301"/>
      <c r="VR45" s="301"/>
      <c r="VS45" s="301"/>
      <c r="VT45" s="301"/>
      <c r="VU45" s="301"/>
      <c r="VV45" s="301"/>
      <c r="VW45" s="301"/>
      <c r="VX45" s="301"/>
      <c r="VY45" s="301"/>
      <c r="VZ45" s="301"/>
      <c r="WA45" s="301"/>
      <c r="WB45" s="301"/>
      <c r="WC45" s="301"/>
      <c r="WD45" s="301"/>
      <c r="WE45" s="301"/>
      <c r="WF45" s="301"/>
      <c r="WG45" s="301"/>
      <c r="WH45" s="301"/>
      <c r="WI45" s="301"/>
      <c r="WJ45" s="301"/>
      <c r="WK45" s="301"/>
      <c r="WL45" s="301"/>
      <c r="WM45" s="301"/>
      <c r="WN45" s="301"/>
      <c r="WO45" s="301"/>
      <c r="WP45" s="301"/>
      <c r="WQ45" s="301"/>
      <c r="WR45" s="301"/>
      <c r="WS45" s="301"/>
      <c r="WT45" s="301"/>
      <c r="WU45" s="301"/>
      <c r="WV45" s="301"/>
      <c r="WW45" s="301"/>
      <c r="WX45" s="301"/>
      <c r="WY45" s="301"/>
      <c r="WZ45" s="301"/>
      <c r="XA45" s="301"/>
      <c r="XB45" s="301"/>
      <c r="XC45" s="301"/>
      <c r="XD45" s="301"/>
      <c r="XE45" s="301"/>
      <c r="XF45" s="301"/>
      <c r="XG45" s="301"/>
      <c r="XH45" s="301"/>
      <c r="XI45" s="301"/>
      <c r="XJ45" s="301"/>
      <c r="XK45" s="301"/>
      <c r="XL45" s="301"/>
      <c r="XM45" s="301"/>
      <c r="XN45" s="301"/>
      <c r="XO45" s="301"/>
      <c r="XP45" s="301"/>
      <c r="XQ45" s="301"/>
      <c r="XR45" s="301"/>
      <c r="XS45" s="301"/>
      <c r="XT45" s="301"/>
      <c r="XU45" s="301"/>
      <c r="XV45" s="301"/>
      <c r="XW45" s="301"/>
      <c r="XX45" s="301"/>
      <c r="XY45" s="301"/>
      <c r="XZ45" s="301"/>
      <c r="YA45" s="301"/>
      <c r="YB45" s="301"/>
      <c r="YC45" s="301"/>
      <c r="YD45" s="301"/>
      <c r="YE45" s="301"/>
      <c r="YF45" s="301"/>
      <c r="YG45" s="301"/>
      <c r="YH45" s="301"/>
      <c r="YI45" s="301"/>
      <c r="YJ45" s="301"/>
      <c r="YK45" s="301"/>
      <c r="YL45" s="301"/>
      <c r="YM45" s="301"/>
      <c r="YN45" s="301"/>
      <c r="YO45" s="301"/>
      <c r="YP45" s="301"/>
      <c r="YQ45" s="301"/>
      <c r="YR45" s="301"/>
      <c r="YS45" s="301"/>
      <c r="YT45" s="301"/>
      <c r="YU45" s="301"/>
      <c r="YV45" s="301"/>
      <c r="YW45" s="301"/>
      <c r="YX45" s="301"/>
      <c r="YY45" s="301"/>
      <c r="YZ45" s="301"/>
      <c r="ZA45" s="301"/>
      <c r="ZB45" s="301"/>
      <c r="ZC45" s="301"/>
      <c r="ZD45" s="301"/>
      <c r="ZE45" s="301"/>
      <c r="ZF45" s="301"/>
      <c r="ZG45" s="301"/>
      <c r="ZH45" s="301"/>
      <c r="ZI45" s="301"/>
      <c r="ZJ45" s="301"/>
      <c r="ZK45" s="301"/>
      <c r="ZL45" s="301"/>
      <c r="ZM45" s="301"/>
      <c r="ZN45" s="301"/>
      <c r="ZO45" s="301"/>
      <c r="ZP45" s="301"/>
      <c r="ZQ45" s="301"/>
      <c r="ZR45" s="301"/>
      <c r="ZS45" s="301"/>
      <c r="ZT45" s="301"/>
      <c r="ZU45" s="301"/>
      <c r="ZV45" s="301"/>
      <c r="ZW45" s="301"/>
      <c r="ZX45" s="301"/>
      <c r="ZY45" s="301"/>
      <c r="ZZ45" s="301"/>
      <c r="AAA45" s="301"/>
      <c r="AAB45" s="301"/>
      <c r="AAC45" s="301"/>
      <c r="AAD45" s="301"/>
      <c r="AAE45" s="301"/>
      <c r="AAF45" s="301"/>
      <c r="AAG45" s="301"/>
      <c r="AAH45" s="301"/>
      <c r="AAI45" s="301"/>
      <c r="AAJ45" s="301"/>
      <c r="AAK45" s="301"/>
      <c r="AAL45" s="301"/>
      <c r="AAM45" s="301"/>
      <c r="AAN45" s="301"/>
      <c r="AAO45" s="301"/>
      <c r="AAP45" s="301"/>
      <c r="AAQ45" s="301"/>
      <c r="AAR45" s="301"/>
      <c r="AAS45" s="301"/>
      <c r="AAT45" s="301"/>
      <c r="AAU45" s="301"/>
      <c r="AAV45" s="301"/>
      <c r="AAW45" s="301"/>
      <c r="AAX45" s="301"/>
      <c r="AAY45" s="301"/>
      <c r="AAZ45" s="301"/>
      <c r="ABA45" s="301"/>
      <c r="ABB45" s="301"/>
      <c r="ABC45" s="301"/>
      <c r="ABD45" s="301"/>
      <c r="ABE45" s="301"/>
      <c r="ABF45" s="301"/>
      <c r="ABG45" s="301"/>
      <c r="ABH45" s="301"/>
      <c r="ABI45" s="301"/>
      <c r="ABJ45" s="301"/>
      <c r="ABK45" s="301"/>
      <c r="ABL45" s="301"/>
      <c r="ABM45" s="301"/>
      <c r="ABN45" s="301"/>
      <c r="ABO45" s="301"/>
      <c r="ABP45" s="301"/>
      <c r="ABQ45" s="301"/>
      <c r="ABR45" s="301"/>
      <c r="ABS45" s="301"/>
      <c r="ABT45" s="301"/>
      <c r="ABU45" s="301"/>
      <c r="ABV45" s="301"/>
      <c r="ABW45" s="301"/>
      <c r="ABX45" s="301"/>
      <c r="ABY45" s="301"/>
      <c r="ABZ45" s="301"/>
      <c r="ACA45" s="301"/>
      <c r="ACB45" s="301"/>
      <c r="ACC45" s="301"/>
      <c r="ACD45" s="301"/>
      <c r="ACE45" s="301"/>
      <c r="ACF45" s="301"/>
      <c r="ACG45" s="301"/>
      <c r="ACH45" s="301"/>
      <c r="ACI45" s="301"/>
      <c r="ACJ45" s="301"/>
      <c r="ACK45" s="301"/>
      <c r="ACL45" s="301"/>
      <c r="ACM45" s="301"/>
      <c r="ACN45" s="301"/>
      <c r="ACO45" s="301"/>
      <c r="ACP45" s="301"/>
      <c r="ACQ45" s="301"/>
      <c r="ACR45" s="301"/>
      <c r="ACS45" s="301"/>
      <c r="ACT45" s="301"/>
      <c r="ACU45" s="301"/>
      <c r="ACV45" s="301"/>
      <c r="ACW45" s="301"/>
      <c r="ACX45" s="301"/>
      <c r="ACY45" s="301"/>
      <c r="ACZ45" s="301"/>
      <c r="ADA45" s="301"/>
      <c r="ADB45" s="301"/>
      <c r="ADC45" s="301"/>
      <c r="ADD45" s="301"/>
      <c r="ADE45" s="301"/>
      <c r="ADF45" s="301"/>
      <c r="ADG45" s="301"/>
      <c r="ADH45" s="301"/>
      <c r="ADI45" s="301"/>
      <c r="ADJ45" s="301"/>
      <c r="ADK45" s="301"/>
      <c r="ADL45" s="301"/>
      <c r="ADM45" s="301"/>
      <c r="ADN45" s="301"/>
      <c r="ADO45" s="301"/>
      <c r="ADP45" s="301"/>
      <c r="ADQ45" s="301"/>
      <c r="ADR45" s="301"/>
      <c r="ADS45" s="301"/>
      <c r="ADT45" s="301"/>
      <c r="ADU45" s="301"/>
      <c r="ADV45" s="301"/>
      <c r="ADW45" s="301"/>
      <c r="ADX45" s="301"/>
      <c r="ADY45" s="301"/>
      <c r="ADZ45" s="301"/>
      <c r="AEA45" s="301"/>
      <c r="AEB45" s="301"/>
      <c r="AEC45" s="301"/>
      <c r="AED45" s="301"/>
      <c r="AEE45" s="301"/>
      <c r="AEF45" s="301"/>
      <c r="AEG45" s="301"/>
      <c r="AEH45" s="301"/>
      <c r="AEI45" s="301"/>
      <c r="AEJ45" s="301"/>
      <c r="AEK45" s="301"/>
      <c r="AEL45" s="301"/>
      <c r="AEM45" s="301"/>
      <c r="AEN45" s="301"/>
      <c r="AEO45" s="301"/>
      <c r="AEP45" s="301"/>
      <c r="AEQ45" s="301"/>
      <c r="AER45" s="301"/>
      <c r="AES45" s="301"/>
      <c r="AET45" s="301"/>
      <c r="AEU45" s="301"/>
      <c r="AEV45" s="301"/>
      <c r="AEW45" s="301"/>
      <c r="AEX45" s="301"/>
      <c r="AEY45" s="301"/>
      <c r="AEZ45" s="301"/>
      <c r="AFA45" s="301"/>
      <c r="AFB45" s="301"/>
      <c r="AFC45" s="301"/>
      <c r="AFD45" s="301"/>
      <c r="AFE45" s="301"/>
      <c r="AFF45" s="301"/>
      <c r="AFG45" s="301"/>
      <c r="AFH45" s="301"/>
      <c r="AFI45" s="301"/>
      <c r="AFJ45" s="301"/>
      <c r="AFK45" s="301"/>
      <c r="AFL45" s="301"/>
      <c r="AFM45" s="301"/>
      <c r="AFN45" s="301"/>
      <c r="AFO45" s="301"/>
      <c r="AFP45" s="301"/>
      <c r="AFQ45" s="301"/>
      <c r="AFR45" s="301"/>
      <c r="AFS45" s="301"/>
      <c r="AFT45" s="301"/>
      <c r="AFU45" s="301"/>
      <c r="AFV45" s="301"/>
      <c r="AFW45" s="301"/>
      <c r="AFX45" s="301"/>
      <c r="AFY45" s="301"/>
      <c r="AFZ45" s="301"/>
      <c r="AGA45" s="301"/>
      <c r="AGB45" s="301"/>
      <c r="AGC45" s="301"/>
      <c r="AGD45" s="301"/>
      <c r="AGE45" s="301"/>
      <c r="AGF45" s="301"/>
      <c r="AGG45" s="301"/>
      <c r="AGH45" s="301"/>
      <c r="AGI45" s="301"/>
      <c r="AGJ45" s="301"/>
      <c r="AGK45" s="301"/>
      <c r="AGL45" s="301"/>
      <c r="AGM45" s="301"/>
      <c r="AGN45" s="301"/>
      <c r="AGO45" s="301"/>
      <c r="AGP45" s="301"/>
      <c r="AGQ45" s="301"/>
      <c r="AGR45" s="301"/>
      <c r="AGS45" s="301"/>
      <c r="AGT45" s="301"/>
      <c r="AGU45" s="301"/>
      <c r="AGV45" s="301"/>
      <c r="AGW45" s="301"/>
      <c r="AGX45" s="301"/>
      <c r="AGY45" s="301"/>
      <c r="AGZ45" s="301"/>
      <c r="AHA45" s="301"/>
      <c r="AHB45" s="301"/>
      <c r="AHC45" s="301"/>
      <c r="AHD45" s="301"/>
      <c r="AHE45" s="301"/>
      <c r="AHF45" s="301"/>
      <c r="AHG45" s="301"/>
      <c r="AHH45" s="301"/>
      <c r="AHI45" s="301"/>
      <c r="AHJ45" s="301"/>
      <c r="AHK45" s="301"/>
      <c r="AHL45" s="301"/>
      <c r="AHM45" s="301"/>
      <c r="AHN45" s="301"/>
      <c r="AHO45" s="301"/>
      <c r="AHP45" s="301"/>
      <c r="AHQ45" s="301"/>
      <c r="AHR45" s="301"/>
      <c r="AHS45" s="301"/>
      <c r="AHT45" s="301"/>
      <c r="AHU45" s="301"/>
      <c r="AHV45" s="301"/>
      <c r="AHW45" s="301"/>
      <c r="AHX45" s="301"/>
      <c r="AHY45" s="301"/>
      <c r="AHZ45" s="301"/>
      <c r="AIA45" s="301"/>
      <c r="AIB45" s="301"/>
      <c r="AIC45" s="301"/>
      <c r="AID45" s="301"/>
      <c r="AIE45" s="301"/>
      <c r="AIF45" s="301"/>
      <c r="AIG45" s="301"/>
      <c r="AIH45" s="301"/>
      <c r="AII45" s="301"/>
      <c r="AIJ45" s="301"/>
      <c r="AIK45" s="301"/>
      <c r="AIL45" s="301"/>
      <c r="AIM45" s="301"/>
      <c r="AIN45" s="301"/>
      <c r="AIO45" s="301"/>
      <c r="AIP45" s="301"/>
      <c r="AIQ45" s="301"/>
      <c r="AIR45" s="301"/>
      <c r="AIS45" s="301"/>
      <c r="AIT45" s="301"/>
      <c r="AIU45" s="301"/>
      <c r="AIV45" s="301"/>
      <c r="AIW45" s="301"/>
      <c r="AIX45" s="301"/>
      <c r="AIY45" s="301"/>
      <c r="AIZ45" s="301"/>
      <c r="AJA45" s="301"/>
      <c r="AJB45" s="301"/>
      <c r="AJC45" s="301"/>
      <c r="AJD45" s="301"/>
      <c r="AJE45" s="301"/>
      <c r="AJF45" s="301"/>
      <c r="AJG45" s="301"/>
      <c r="AJH45" s="301"/>
      <c r="AJI45" s="301"/>
      <c r="AJJ45" s="301"/>
      <c r="AJK45" s="301"/>
      <c r="AJL45" s="301"/>
      <c r="AJM45" s="301"/>
      <c r="AJN45" s="301"/>
      <c r="AJO45" s="301"/>
      <c r="AJP45" s="301"/>
      <c r="AJQ45" s="301"/>
      <c r="AJR45" s="301"/>
      <c r="AJS45" s="301"/>
      <c r="AJT45" s="301"/>
      <c r="AJU45" s="301"/>
      <c r="AJV45" s="301"/>
      <c r="AJW45" s="301"/>
      <c r="AJX45" s="301"/>
      <c r="AJY45" s="301"/>
      <c r="AJZ45" s="301"/>
      <c r="AKA45" s="301"/>
      <c r="AKB45" s="301"/>
      <c r="AKC45" s="301"/>
      <c r="AKD45" s="301"/>
      <c r="AKE45" s="301"/>
      <c r="AKF45" s="301"/>
      <c r="AKG45" s="301"/>
      <c r="AKH45" s="301"/>
      <c r="AKI45" s="301"/>
      <c r="AKJ45" s="301"/>
      <c r="AKK45" s="301"/>
      <c r="AKL45" s="301"/>
      <c r="AKM45" s="301"/>
      <c r="AKN45" s="301"/>
      <c r="AKO45" s="301"/>
      <c r="AKP45" s="301"/>
      <c r="AKQ45" s="301"/>
      <c r="AKR45" s="301"/>
      <c r="AKS45" s="301"/>
      <c r="AKT45" s="301"/>
      <c r="AKU45" s="301"/>
      <c r="AKV45" s="301"/>
      <c r="AKW45" s="301"/>
      <c r="AKX45" s="301"/>
      <c r="AKY45" s="301"/>
      <c r="AKZ45" s="301"/>
      <c r="ALA45" s="301"/>
      <c r="ALB45" s="301"/>
      <c r="ALC45" s="301"/>
      <c r="ALD45" s="301"/>
      <c r="ALE45" s="301"/>
      <c r="ALF45" s="301"/>
      <c r="ALG45" s="301"/>
      <c r="ALH45" s="301"/>
      <c r="ALI45" s="301"/>
      <c r="ALJ45" s="301"/>
      <c r="ALK45" s="301"/>
      <c r="ALL45" s="301"/>
      <c r="ALM45" s="301"/>
      <c r="ALN45" s="301"/>
      <c r="ALO45" s="301"/>
      <c r="ALP45" s="301"/>
      <c r="ALQ45" s="301"/>
      <c r="ALR45" s="301"/>
      <c r="ALS45" s="301"/>
      <c r="ALT45" s="301"/>
      <c r="ALU45" s="301"/>
      <c r="ALV45" s="301"/>
      <c r="ALW45" s="301"/>
      <c r="ALX45" s="301"/>
      <c r="ALY45" s="301"/>
      <c r="ALZ45" s="301"/>
      <c r="AMA45" s="301"/>
      <c r="AMB45" s="301"/>
      <c r="AMC45" s="301"/>
      <c r="AMD45" s="301"/>
      <c r="AME45" s="301"/>
      <c r="AMF45" s="301"/>
      <c r="AMG45" s="301"/>
      <c r="AMH45" s="301"/>
      <c r="AMI45" s="301"/>
      <c r="AMJ45" s="301"/>
    </row>
    <row r="46" customFormat="false" ht="12.8" hidden="false" customHeight="false" outlineLevel="0" collapsed="false">
      <c r="A46" s="299" t="s">
        <v>221</v>
      </c>
      <c r="B46" s="1"/>
      <c r="C46" s="311" t="str">
        <f aca="false">IF(B46&gt;0,1,"")</f>
        <v/>
      </c>
      <c r="D46" s="310"/>
      <c r="E46" s="311" t="str">
        <f aca="false">IF(D46&gt;0,1,"")</f>
        <v/>
      </c>
      <c r="F46" s="310" t="n">
        <v>0</v>
      </c>
      <c r="G46" s="311" t="str">
        <f aca="false">IF(F46&gt;0,1,"")</f>
        <v/>
      </c>
      <c r="H46" s="310"/>
      <c r="I46" s="311" t="str">
        <f aca="false">IF(H46&gt;0,1,"")</f>
        <v/>
      </c>
      <c r="J46" s="326" t="str">
        <f aca="false">IF(SUM(C46,E46,G46,I46)&gt;1,"ERROR",IF(B46&gt;=1,B46*52,IF(D46&gt;=1,D46*26,IF(F46&gt;=1,F46*12,IF(H46&gt;=1,H46*4,"")))))</f>
        <v/>
      </c>
      <c r="K46" s="301"/>
      <c r="L46" s="301"/>
      <c r="M46" s="301"/>
      <c r="N46" s="301"/>
      <c r="O46" s="301"/>
      <c r="P46" s="301"/>
      <c r="Q46" s="301"/>
      <c r="R46" s="301"/>
      <c r="S46" s="301"/>
      <c r="T46" s="301"/>
      <c r="U46" s="301"/>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301"/>
      <c r="BD46" s="301"/>
      <c r="BE46" s="301"/>
      <c r="BF46" s="301"/>
      <c r="BG46" s="301"/>
      <c r="BH46" s="301"/>
      <c r="BI46" s="301"/>
      <c r="BJ46" s="301"/>
      <c r="BK46" s="301"/>
      <c r="BL46" s="301"/>
      <c r="BM46" s="301"/>
      <c r="BN46" s="301"/>
      <c r="BO46" s="301"/>
      <c r="BP46" s="301"/>
      <c r="BQ46" s="301"/>
      <c r="BR46" s="301"/>
      <c r="BS46" s="301"/>
      <c r="BT46" s="301"/>
      <c r="BU46" s="301"/>
      <c r="BV46" s="301"/>
      <c r="BW46" s="301"/>
      <c r="BX46" s="301"/>
      <c r="BY46" s="301"/>
      <c r="BZ46" s="301"/>
      <c r="CA46" s="301"/>
      <c r="CB46" s="301"/>
      <c r="CC46" s="301"/>
      <c r="CD46" s="301"/>
      <c r="CE46" s="301"/>
      <c r="CF46" s="301"/>
      <c r="CG46" s="301"/>
      <c r="CH46" s="301"/>
      <c r="CI46" s="301"/>
      <c r="CJ46" s="301"/>
      <c r="CK46" s="301"/>
      <c r="CL46" s="301"/>
      <c r="CM46" s="301"/>
      <c r="CN46" s="301"/>
      <c r="CO46" s="301"/>
      <c r="CP46" s="301"/>
      <c r="CQ46" s="301"/>
      <c r="CR46" s="301"/>
      <c r="CS46" s="301"/>
      <c r="CT46" s="301"/>
      <c r="CU46" s="301"/>
      <c r="CV46" s="301"/>
      <c r="CW46" s="301"/>
      <c r="CX46" s="301"/>
      <c r="CY46" s="301"/>
      <c r="CZ46" s="301"/>
      <c r="DA46" s="301"/>
      <c r="DB46" s="301"/>
      <c r="DC46" s="301"/>
      <c r="DD46" s="301"/>
      <c r="DE46" s="301"/>
      <c r="DF46" s="301"/>
      <c r="DG46" s="301"/>
      <c r="DH46" s="301"/>
      <c r="DI46" s="301"/>
      <c r="DJ46" s="301"/>
      <c r="DK46" s="301"/>
      <c r="DL46" s="301"/>
      <c r="DM46" s="301"/>
      <c r="DN46" s="301"/>
      <c r="DO46" s="301"/>
      <c r="DP46" s="301"/>
      <c r="DQ46" s="301"/>
      <c r="DR46" s="301"/>
      <c r="DS46" s="301"/>
      <c r="DT46" s="301"/>
      <c r="DU46" s="301"/>
      <c r="DV46" s="301"/>
      <c r="DW46" s="301"/>
      <c r="DX46" s="301"/>
      <c r="DY46" s="301"/>
      <c r="DZ46" s="301"/>
      <c r="EA46" s="301"/>
      <c r="EB46" s="301"/>
      <c r="EC46" s="301"/>
      <c r="ED46" s="301"/>
      <c r="EE46" s="301"/>
      <c r="EF46" s="301"/>
      <c r="EG46" s="301"/>
      <c r="EH46" s="301"/>
      <c r="EI46" s="301"/>
      <c r="EJ46" s="301"/>
      <c r="EK46" s="301"/>
      <c r="EL46" s="301"/>
      <c r="EM46" s="301"/>
      <c r="EN46" s="301"/>
      <c r="EO46" s="301"/>
      <c r="EP46" s="301"/>
      <c r="EQ46" s="301"/>
      <c r="ER46" s="301"/>
      <c r="ES46" s="301"/>
      <c r="ET46" s="301"/>
      <c r="EU46" s="301"/>
      <c r="EV46" s="301"/>
      <c r="EW46" s="301"/>
      <c r="EX46" s="301"/>
      <c r="EY46" s="301"/>
      <c r="EZ46" s="301"/>
      <c r="FA46" s="301"/>
      <c r="FB46" s="301"/>
      <c r="FC46" s="301"/>
      <c r="FD46" s="301"/>
      <c r="FE46" s="301"/>
      <c r="FF46" s="301"/>
      <c r="FG46" s="301"/>
      <c r="FH46" s="301"/>
      <c r="FI46" s="301"/>
      <c r="FJ46" s="301"/>
      <c r="FK46" s="301"/>
      <c r="FL46" s="301"/>
      <c r="FM46" s="301"/>
      <c r="FN46" s="301"/>
      <c r="FO46" s="301"/>
      <c r="FP46" s="301"/>
      <c r="FQ46" s="301"/>
      <c r="FR46" s="301"/>
      <c r="FS46" s="301"/>
      <c r="FT46" s="301"/>
      <c r="FU46" s="301"/>
      <c r="FV46" s="301"/>
      <c r="FW46" s="301"/>
      <c r="FX46" s="301"/>
      <c r="FY46" s="301"/>
      <c r="FZ46" s="301"/>
      <c r="GA46" s="301"/>
      <c r="GB46" s="301"/>
      <c r="GC46" s="301"/>
      <c r="GD46" s="301"/>
      <c r="GE46" s="301"/>
      <c r="GF46" s="301"/>
      <c r="GG46" s="301"/>
      <c r="GH46" s="301"/>
      <c r="GI46" s="301"/>
      <c r="GJ46" s="301"/>
      <c r="GK46" s="301"/>
      <c r="GL46" s="301"/>
      <c r="GM46" s="301"/>
      <c r="GN46" s="301"/>
      <c r="GO46" s="301"/>
      <c r="GP46" s="301"/>
      <c r="GQ46" s="301"/>
      <c r="GR46" s="301"/>
      <c r="GS46" s="301"/>
      <c r="GT46" s="301"/>
      <c r="GU46" s="301"/>
      <c r="GV46" s="301"/>
      <c r="GW46" s="301"/>
      <c r="GX46" s="301"/>
      <c r="GY46" s="301"/>
      <c r="GZ46" s="301"/>
      <c r="HA46" s="301"/>
      <c r="HB46" s="301"/>
      <c r="HC46" s="301"/>
      <c r="HD46" s="301"/>
      <c r="HE46" s="301"/>
      <c r="HF46" s="301"/>
      <c r="HG46" s="301"/>
      <c r="HH46" s="301"/>
      <c r="HI46" s="301"/>
      <c r="HJ46" s="301"/>
      <c r="HK46" s="301"/>
      <c r="HL46" s="301"/>
      <c r="HM46" s="301"/>
      <c r="HN46" s="301"/>
      <c r="HO46" s="301"/>
      <c r="HP46" s="301"/>
      <c r="HQ46" s="301"/>
      <c r="HR46" s="301"/>
      <c r="HS46" s="301"/>
      <c r="HT46" s="301"/>
      <c r="HU46" s="301"/>
      <c r="HV46" s="301"/>
      <c r="HW46" s="301"/>
      <c r="HX46" s="301"/>
      <c r="HY46" s="301"/>
      <c r="HZ46" s="301"/>
      <c r="IA46" s="301"/>
      <c r="IB46" s="301"/>
      <c r="IC46" s="301"/>
      <c r="ID46" s="301"/>
      <c r="IE46" s="301"/>
      <c r="IF46" s="301"/>
      <c r="IG46" s="301"/>
      <c r="IH46" s="301"/>
      <c r="II46" s="301"/>
      <c r="IJ46" s="301"/>
      <c r="IK46" s="301"/>
      <c r="IL46" s="301"/>
      <c r="IM46" s="301"/>
      <c r="IN46" s="301"/>
      <c r="IO46" s="301"/>
      <c r="IP46" s="301"/>
      <c r="IQ46" s="301"/>
      <c r="IR46" s="301"/>
      <c r="IS46" s="301"/>
      <c r="IT46" s="301"/>
      <c r="IU46" s="301"/>
      <c r="IV46" s="301"/>
      <c r="IW46" s="301"/>
      <c r="IX46" s="301"/>
      <c r="IY46" s="301"/>
      <c r="IZ46" s="301"/>
      <c r="JA46" s="301"/>
      <c r="JB46" s="301"/>
      <c r="JC46" s="301"/>
      <c r="JD46" s="301"/>
      <c r="JE46" s="301"/>
      <c r="JF46" s="301"/>
      <c r="JG46" s="301"/>
      <c r="JH46" s="301"/>
      <c r="JI46" s="301"/>
      <c r="JJ46" s="301"/>
      <c r="JK46" s="301"/>
      <c r="JL46" s="301"/>
      <c r="JM46" s="301"/>
      <c r="JN46" s="301"/>
      <c r="JO46" s="301"/>
      <c r="JP46" s="301"/>
      <c r="JQ46" s="301"/>
      <c r="JR46" s="301"/>
      <c r="JS46" s="301"/>
      <c r="JT46" s="301"/>
      <c r="JU46" s="301"/>
      <c r="JV46" s="301"/>
      <c r="JW46" s="301"/>
      <c r="JX46" s="301"/>
      <c r="JY46" s="301"/>
      <c r="JZ46" s="301"/>
      <c r="KA46" s="301"/>
      <c r="KB46" s="301"/>
      <c r="KC46" s="301"/>
      <c r="KD46" s="301"/>
      <c r="KE46" s="301"/>
      <c r="KF46" s="301"/>
      <c r="KG46" s="301"/>
      <c r="KH46" s="301"/>
      <c r="KI46" s="301"/>
      <c r="KJ46" s="301"/>
      <c r="KK46" s="301"/>
      <c r="KL46" s="301"/>
      <c r="KM46" s="301"/>
      <c r="KN46" s="301"/>
      <c r="KO46" s="301"/>
      <c r="KP46" s="301"/>
      <c r="KQ46" s="301"/>
      <c r="KR46" s="301"/>
      <c r="KS46" s="301"/>
      <c r="KT46" s="301"/>
      <c r="KU46" s="301"/>
      <c r="KV46" s="301"/>
      <c r="KW46" s="301"/>
      <c r="KX46" s="301"/>
      <c r="KY46" s="301"/>
      <c r="KZ46" s="301"/>
      <c r="LA46" s="301"/>
      <c r="LB46" s="301"/>
      <c r="LC46" s="301"/>
      <c r="LD46" s="301"/>
      <c r="LE46" s="301"/>
      <c r="LF46" s="301"/>
      <c r="LG46" s="301"/>
      <c r="LH46" s="301"/>
      <c r="LI46" s="301"/>
      <c r="LJ46" s="301"/>
      <c r="LK46" s="301"/>
      <c r="LL46" s="301"/>
      <c r="LM46" s="301"/>
      <c r="LN46" s="301"/>
      <c r="LO46" s="301"/>
      <c r="LP46" s="301"/>
      <c r="LQ46" s="301"/>
      <c r="LR46" s="301"/>
      <c r="LS46" s="301"/>
      <c r="LT46" s="301"/>
      <c r="LU46" s="301"/>
      <c r="LV46" s="301"/>
      <c r="LW46" s="301"/>
      <c r="LX46" s="301"/>
      <c r="LY46" s="301"/>
      <c r="LZ46" s="301"/>
      <c r="MA46" s="301"/>
      <c r="MB46" s="301"/>
      <c r="MC46" s="301"/>
      <c r="MD46" s="301"/>
      <c r="ME46" s="301"/>
      <c r="MF46" s="301"/>
      <c r="MG46" s="301"/>
      <c r="MH46" s="301"/>
      <c r="MI46" s="301"/>
      <c r="MJ46" s="301"/>
      <c r="MK46" s="301"/>
      <c r="ML46" s="301"/>
      <c r="MM46" s="301"/>
      <c r="MN46" s="301"/>
      <c r="MO46" s="301"/>
      <c r="MP46" s="301"/>
      <c r="MQ46" s="301"/>
      <c r="MR46" s="301"/>
      <c r="MS46" s="301"/>
      <c r="MT46" s="301"/>
      <c r="MU46" s="301"/>
      <c r="MV46" s="301"/>
      <c r="MW46" s="301"/>
      <c r="MX46" s="301"/>
      <c r="MY46" s="301"/>
      <c r="MZ46" s="301"/>
      <c r="NA46" s="301"/>
      <c r="NB46" s="301"/>
      <c r="NC46" s="301"/>
      <c r="ND46" s="301"/>
      <c r="NE46" s="301"/>
      <c r="NF46" s="301"/>
      <c r="NG46" s="301"/>
      <c r="NH46" s="301"/>
      <c r="NI46" s="301"/>
      <c r="NJ46" s="301"/>
      <c r="NK46" s="301"/>
      <c r="NL46" s="301"/>
      <c r="NM46" s="301"/>
      <c r="NN46" s="301"/>
      <c r="NO46" s="301"/>
      <c r="NP46" s="301"/>
      <c r="NQ46" s="301"/>
      <c r="NR46" s="301"/>
      <c r="NS46" s="301"/>
      <c r="NT46" s="301"/>
      <c r="NU46" s="301"/>
      <c r="NV46" s="301"/>
      <c r="NW46" s="301"/>
      <c r="NX46" s="301"/>
      <c r="NY46" s="301"/>
      <c r="NZ46" s="301"/>
      <c r="OA46" s="301"/>
      <c r="OB46" s="301"/>
      <c r="OC46" s="301"/>
      <c r="OD46" s="301"/>
      <c r="OE46" s="301"/>
      <c r="OF46" s="301"/>
      <c r="OG46" s="301"/>
      <c r="OH46" s="301"/>
      <c r="OI46" s="301"/>
      <c r="OJ46" s="301"/>
      <c r="OK46" s="301"/>
      <c r="OL46" s="301"/>
      <c r="OM46" s="301"/>
      <c r="ON46" s="301"/>
      <c r="OO46" s="301"/>
      <c r="OP46" s="301"/>
      <c r="OQ46" s="301"/>
      <c r="OR46" s="301"/>
      <c r="OS46" s="301"/>
      <c r="OT46" s="301"/>
      <c r="OU46" s="301"/>
      <c r="OV46" s="301"/>
      <c r="OW46" s="301"/>
      <c r="OX46" s="301"/>
      <c r="OY46" s="301"/>
      <c r="OZ46" s="301"/>
      <c r="PA46" s="301"/>
      <c r="PB46" s="301"/>
      <c r="PC46" s="301"/>
      <c r="PD46" s="301"/>
      <c r="PE46" s="301"/>
      <c r="PF46" s="301"/>
      <c r="PG46" s="301"/>
      <c r="PH46" s="301"/>
      <c r="PI46" s="301"/>
      <c r="PJ46" s="301"/>
      <c r="PK46" s="301"/>
      <c r="PL46" s="301"/>
      <c r="PM46" s="301"/>
      <c r="PN46" s="301"/>
      <c r="PO46" s="301"/>
      <c r="PP46" s="301"/>
      <c r="PQ46" s="301"/>
      <c r="PR46" s="301"/>
      <c r="PS46" s="301"/>
      <c r="PT46" s="301"/>
      <c r="PU46" s="301"/>
      <c r="PV46" s="301"/>
      <c r="PW46" s="301"/>
      <c r="PX46" s="301"/>
      <c r="PY46" s="301"/>
      <c r="PZ46" s="301"/>
      <c r="QA46" s="301"/>
      <c r="QB46" s="301"/>
      <c r="QC46" s="301"/>
      <c r="QD46" s="301"/>
      <c r="QE46" s="301"/>
      <c r="QF46" s="301"/>
      <c r="QG46" s="301"/>
      <c r="QH46" s="301"/>
      <c r="QI46" s="301"/>
      <c r="QJ46" s="301"/>
      <c r="QK46" s="301"/>
      <c r="QL46" s="301"/>
      <c r="QM46" s="301"/>
      <c r="QN46" s="301"/>
      <c r="QO46" s="301"/>
      <c r="QP46" s="301"/>
      <c r="QQ46" s="301"/>
      <c r="QR46" s="301"/>
      <c r="QS46" s="301"/>
      <c r="QT46" s="301"/>
      <c r="QU46" s="301"/>
      <c r="QV46" s="301"/>
      <c r="QW46" s="301"/>
      <c r="QX46" s="301"/>
      <c r="QY46" s="301"/>
      <c r="QZ46" s="301"/>
      <c r="RA46" s="301"/>
      <c r="RB46" s="301"/>
      <c r="RC46" s="301"/>
      <c r="RD46" s="301"/>
      <c r="RE46" s="301"/>
      <c r="RF46" s="301"/>
      <c r="RG46" s="301"/>
      <c r="RH46" s="301"/>
      <c r="RI46" s="301"/>
      <c r="RJ46" s="301"/>
      <c r="RK46" s="301"/>
      <c r="RL46" s="301"/>
      <c r="RM46" s="301"/>
      <c r="RN46" s="301"/>
      <c r="RO46" s="301"/>
      <c r="RP46" s="301"/>
      <c r="RQ46" s="301"/>
      <c r="RR46" s="301"/>
      <c r="RS46" s="301"/>
      <c r="RT46" s="301"/>
      <c r="RU46" s="301"/>
      <c r="RV46" s="301"/>
      <c r="RW46" s="301"/>
      <c r="RX46" s="301"/>
      <c r="RY46" s="301"/>
      <c r="RZ46" s="301"/>
      <c r="SA46" s="301"/>
      <c r="SB46" s="301"/>
      <c r="SC46" s="301"/>
      <c r="SD46" s="301"/>
      <c r="SE46" s="301"/>
      <c r="SF46" s="301"/>
      <c r="SG46" s="301"/>
      <c r="SH46" s="301"/>
      <c r="SI46" s="301"/>
      <c r="SJ46" s="301"/>
      <c r="SK46" s="301"/>
      <c r="SL46" s="301"/>
      <c r="SM46" s="301"/>
      <c r="SN46" s="301"/>
      <c r="SO46" s="301"/>
      <c r="SP46" s="301"/>
      <c r="SQ46" s="301"/>
      <c r="SR46" s="301"/>
      <c r="SS46" s="301"/>
      <c r="ST46" s="301"/>
      <c r="SU46" s="301"/>
      <c r="SV46" s="301"/>
      <c r="SW46" s="301"/>
      <c r="SX46" s="301"/>
      <c r="SY46" s="301"/>
      <c r="SZ46" s="301"/>
      <c r="TA46" s="301"/>
      <c r="TB46" s="301"/>
      <c r="TC46" s="301"/>
      <c r="TD46" s="301"/>
      <c r="TE46" s="301"/>
      <c r="TF46" s="301"/>
      <c r="TG46" s="301"/>
      <c r="TH46" s="301"/>
      <c r="TI46" s="301"/>
      <c r="TJ46" s="301"/>
      <c r="TK46" s="301"/>
      <c r="TL46" s="301"/>
      <c r="TM46" s="301"/>
      <c r="TN46" s="301"/>
      <c r="TO46" s="301"/>
      <c r="TP46" s="301"/>
      <c r="TQ46" s="301"/>
      <c r="TR46" s="301"/>
      <c r="TS46" s="301"/>
      <c r="TT46" s="301"/>
      <c r="TU46" s="301"/>
      <c r="TV46" s="301"/>
      <c r="TW46" s="301"/>
      <c r="TX46" s="301"/>
      <c r="TY46" s="301"/>
      <c r="TZ46" s="301"/>
      <c r="UA46" s="301"/>
      <c r="UB46" s="301"/>
      <c r="UC46" s="301"/>
      <c r="UD46" s="301"/>
      <c r="UE46" s="301"/>
      <c r="UF46" s="301"/>
      <c r="UG46" s="301"/>
      <c r="UH46" s="301"/>
      <c r="UI46" s="301"/>
      <c r="UJ46" s="301"/>
      <c r="UK46" s="301"/>
      <c r="UL46" s="301"/>
      <c r="UM46" s="301"/>
      <c r="UN46" s="301"/>
      <c r="UO46" s="301"/>
      <c r="UP46" s="301"/>
      <c r="UQ46" s="301"/>
      <c r="UR46" s="301"/>
      <c r="US46" s="301"/>
      <c r="UT46" s="301"/>
      <c r="UU46" s="301"/>
      <c r="UV46" s="301"/>
      <c r="UW46" s="301"/>
      <c r="UX46" s="301"/>
      <c r="UY46" s="301"/>
      <c r="UZ46" s="301"/>
      <c r="VA46" s="301"/>
      <c r="VB46" s="301"/>
      <c r="VC46" s="301"/>
      <c r="VD46" s="301"/>
      <c r="VE46" s="301"/>
      <c r="VF46" s="301"/>
      <c r="VG46" s="301"/>
      <c r="VH46" s="301"/>
      <c r="VI46" s="301"/>
      <c r="VJ46" s="301"/>
      <c r="VK46" s="301"/>
      <c r="VL46" s="301"/>
      <c r="VM46" s="301"/>
      <c r="VN46" s="301"/>
      <c r="VO46" s="301"/>
      <c r="VP46" s="301"/>
      <c r="VQ46" s="301"/>
      <c r="VR46" s="301"/>
      <c r="VS46" s="301"/>
      <c r="VT46" s="301"/>
      <c r="VU46" s="301"/>
      <c r="VV46" s="301"/>
      <c r="VW46" s="301"/>
      <c r="VX46" s="301"/>
      <c r="VY46" s="301"/>
      <c r="VZ46" s="301"/>
      <c r="WA46" s="301"/>
      <c r="WB46" s="301"/>
      <c r="WC46" s="301"/>
      <c r="WD46" s="301"/>
      <c r="WE46" s="301"/>
      <c r="WF46" s="301"/>
      <c r="WG46" s="301"/>
      <c r="WH46" s="301"/>
      <c r="WI46" s="301"/>
      <c r="WJ46" s="301"/>
      <c r="WK46" s="301"/>
      <c r="WL46" s="301"/>
      <c r="WM46" s="301"/>
      <c r="WN46" s="301"/>
      <c r="WO46" s="301"/>
      <c r="WP46" s="301"/>
      <c r="WQ46" s="301"/>
      <c r="WR46" s="301"/>
      <c r="WS46" s="301"/>
      <c r="WT46" s="301"/>
      <c r="WU46" s="301"/>
      <c r="WV46" s="301"/>
      <c r="WW46" s="301"/>
      <c r="WX46" s="301"/>
      <c r="WY46" s="301"/>
      <c r="WZ46" s="301"/>
      <c r="XA46" s="301"/>
      <c r="XB46" s="301"/>
      <c r="XC46" s="301"/>
      <c r="XD46" s="301"/>
      <c r="XE46" s="301"/>
      <c r="XF46" s="301"/>
      <c r="XG46" s="301"/>
      <c r="XH46" s="301"/>
      <c r="XI46" s="301"/>
      <c r="XJ46" s="301"/>
      <c r="XK46" s="301"/>
      <c r="XL46" s="301"/>
      <c r="XM46" s="301"/>
      <c r="XN46" s="301"/>
      <c r="XO46" s="301"/>
      <c r="XP46" s="301"/>
      <c r="XQ46" s="301"/>
      <c r="XR46" s="301"/>
      <c r="XS46" s="301"/>
      <c r="XT46" s="301"/>
      <c r="XU46" s="301"/>
      <c r="XV46" s="301"/>
      <c r="XW46" s="301"/>
      <c r="XX46" s="301"/>
      <c r="XY46" s="301"/>
      <c r="XZ46" s="301"/>
      <c r="YA46" s="301"/>
      <c r="YB46" s="301"/>
      <c r="YC46" s="301"/>
      <c r="YD46" s="301"/>
      <c r="YE46" s="301"/>
      <c r="YF46" s="301"/>
      <c r="YG46" s="301"/>
      <c r="YH46" s="301"/>
      <c r="YI46" s="301"/>
      <c r="YJ46" s="301"/>
      <c r="YK46" s="301"/>
      <c r="YL46" s="301"/>
      <c r="YM46" s="301"/>
      <c r="YN46" s="301"/>
      <c r="YO46" s="301"/>
      <c r="YP46" s="301"/>
      <c r="YQ46" s="301"/>
      <c r="YR46" s="301"/>
      <c r="YS46" s="301"/>
      <c r="YT46" s="301"/>
      <c r="YU46" s="301"/>
      <c r="YV46" s="301"/>
      <c r="YW46" s="301"/>
      <c r="YX46" s="301"/>
      <c r="YY46" s="301"/>
      <c r="YZ46" s="301"/>
      <c r="ZA46" s="301"/>
      <c r="ZB46" s="301"/>
      <c r="ZC46" s="301"/>
      <c r="ZD46" s="301"/>
      <c r="ZE46" s="301"/>
      <c r="ZF46" s="301"/>
      <c r="ZG46" s="301"/>
      <c r="ZH46" s="301"/>
      <c r="ZI46" s="301"/>
      <c r="ZJ46" s="301"/>
      <c r="ZK46" s="301"/>
      <c r="ZL46" s="301"/>
      <c r="ZM46" s="301"/>
      <c r="ZN46" s="301"/>
      <c r="ZO46" s="301"/>
      <c r="ZP46" s="301"/>
      <c r="ZQ46" s="301"/>
      <c r="ZR46" s="301"/>
      <c r="ZS46" s="301"/>
      <c r="ZT46" s="301"/>
      <c r="ZU46" s="301"/>
      <c r="ZV46" s="301"/>
      <c r="ZW46" s="301"/>
      <c r="ZX46" s="301"/>
      <c r="ZY46" s="301"/>
      <c r="ZZ46" s="301"/>
      <c r="AAA46" s="301"/>
      <c r="AAB46" s="301"/>
      <c r="AAC46" s="301"/>
      <c r="AAD46" s="301"/>
      <c r="AAE46" s="301"/>
      <c r="AAF46" s="301"/>
      <c r="AAG46" s="301"/>
      <c r="AAH46" s="301"/>
      <c r="AAI46" s="301"/>
      <c r="AAJ46" s="301"/>
      <c r="AAK46" s="301"/>
      <c r="AAL46" s="301"/>
      <c r="AAM46" s="301"/>
      <c r="AAN46" s="301"/>
      <c r="AAO46" s="301"/>
      <c r="AAP46" s="301"/>
      <c r="AAQ46" s="301"/>
      <c r="AAR46" s="301"/>
      <c r="AAS46" s="301"/>
      <c r="AAT46" s="301"/>
      <c r="AAU46" s="301"/>
      <c r="AAV46" s="301"/>
      <c r="AAW46" s="301"/>
      <c r="AAX46" s="301"/>
      <c r="AAY46" s="301"/>
      <c r="AAZ46" s="301"/>
      <c r="ABA46" s="301"/>
      <c r="ABB46" s="301"/>
      <c r="ABC46" s="301"/>
      <c r="ABD46" s="301"/>
      <c r="ABE46" s="301"/>
      <c r="ABF46" s="301"/>
      <c r="ABG46" s="301"/>
      <c r="ABH46" s="301"/>
      <c r="ABI46" s="301"/>
      <c r="ABJ46" s="301"/>
      <c r="ABK46" s="301"/>
      <c r="ABL46" s="301"/>
      <c r="ABM46" s="301"/>
      <c r="ABN46" s="301"/>
      <c r="ABO46" s="301"/>
      <c r="ABP46" s="301"/>
      <c r="ABQ46" s="301"/>
      <c r="ABR46" s="301"/>
      <c r="ABS46" s="301"/>
      <c r="ABT46" s="301"/>
      <c r="ABU46" s="301"/>
      <c r="ABV46" s="301"/>
      <c r="ABW46" s="301"/>
      <c r="ABX46" s="301"/>
      <c r="ABY46" s="301"/>
      <c r="ABZ46" s="301"/>
      <c r="ACA46" s="301"/>
      <c r="ACB46" s="301"/>
      <c r="ACC46" s="301"/>
      <c r="ACD46" s="301"/>
      <c r="ACE46" s="301"/>
      <c r="ACF46" s="301"/>
      <c r="ACG46" s="301"/>
      <c r="ACH46" s="301"/>
      <c r="ACI46" s="301"/>
      <c r="ACJ46" s="301"/>
      <c r="ACK46" s="301"/>
      <c r="ACL46" s="301"/>
      <c r="ACM46" s="301"/>
      <c r="ACN46" s="301"/>
      <c r="ACO46" s="301"/>
      <c r="ACP46" s="301"/>
      <c r="ACQ46" s="301"/>
      <c r="ACR46" s="301"/>
      <c r="ACS46" s="301"/>
      <c r="ACT46" s="301"/>
      <c r="ACU46" s="301"/>
      <c r="ACV46" s="301"/>
      <c r="ACW46" s="301"/>
      <c r="ACX46" s="301"/>
      <c r="ACY46" s="301"/>
      <c r="ACZ46" s="301"/>
      <c r="ADA46" s="301"/>
      <c r="ADB46" s="301"/>
      <c r="ADC46" s="301"/>
      <c r="ADD46" s="301"/>
      <c r="ADE46" s="301"/>
      <c r="ADF46" s="301"/>
      <c r="ADG46" s="301"/>
      <c r="ADH46" s="301"/>
      <c r="ADI46" s="301"/>
      <c r="ADJ46" s="301"/>
      <c r="ADK46" s="301"/>
      <c r="ADL46" s="301"/>
      <c r="ADM46" s="301"/>
      <c r="ADN46" s="301"/>
      <c r="ADO46" s="301"/>
      <c r="ADP46" s="301"/>
      <c r="ADQ46" s="301"/>
      <c r="ADR46" s="301"/>
      <c r="ADS46" s="301"/>
      <c r="ADT46" s="301"/>
      <c r="ADU46" s="301"/>
      <c r="ADV46" s="301"/>
      <c r="ADW46" s="301"/>
      <c r="ADX46" s="301"/>
      <c r="ADY46" s="301"/>
      <c r="ADZ46" s="301"/>
      <c r="AEA46" s="301"/>
      <c r="AEB46" s="301"/>
      <c r="AEC46" s="301"/>
      <c r="AED46" s="301"/>
      <c r="AEE46" s="301"/>
      <c r="AEF46" s="301"/>
      <c r="AEG46" s="301"/>
      <c r="AEH46" s="301"/>
      <c r="AEI46" s="301"/>
      <c r="AEJ46" s="301"/>
      <c r="AEK46" s="301"/>
      <c r="AEL46" s="301"/>
      <c r="AEM46" s="301"/>
      <c r="AEN46" s="301"/>
      <c r="AEO46" s="301"/>
      <c r="AEP46" s="301"/>
      <c r="AEQ46" s="301"/>
      <c r="AER46" s="301"/>
      <c r="AES46" s="301"/>
      <c r="AET46" s="301"/>
      <c r="AEU46" s="301"/>
      <c r="AEV46" s="301"/>
      <c r="AEW46" s="301"/>
      <c r="AEX46" s="301"/>
      <c r="AEY46" s="301"/>
      <c r="AEZ46" s="301"/>
      <c r="AFA46" s="301"/>
      <c r="AFB46" s="301"/>
      <c r="AFC46" s="301"/>
      <c r="AFD46" s="301"/>
      <c r="AFE46" s="301"/>
      <c r="AFF46" s="301"/>
      <c r="AFG46" s="301"/>
      <c r="AFH46" s="301"/>
      <c r="AFI46" s="301"/>
      <c r="AFJ46" s="301"/>
      <c r="AFK46" s="301"/>
      <c r="AFL46" s="301"/>
      <c r="AFM46" s="301"/>
      <c r="AFN46" s="301"/>
      <c r="AFO46" s="301"/>
      <c r="AFP46" s="301"/>
      <c r="AFQ46" s="301"/>
      <c r="AFR46" s="301"/>
      <c r="AFS46" s="301"/>
      <c r="AFT46" s="301"/>
      <c r="AFU46" s="301"/>
      <c r="AFV46" s="301"/>
      <c r="AFW46" s="301"/>
      <c r="AFX46" s="301"/>
      <c r="AFY46" s="301"/>
      <c r="AFZ46" s="301"/>
      <c r="AGA46" s="301"/>
      <c r="AGB46" s="301"/>
      <c r="AGC46" s="301"/>
      <c r="AGD46" s="301"/>
      <c r="AGE46" s="301"/>
      <c r="AGF46" s="301"/>
      <c r="AGG46" s="301"/>
      <c r="AGH46" s="301"/>
      <c r="AGI46" s="301"/>
      <c r="AGJ46" s="301"/>
      <c r="AGK46" s="301"/>
      <c r="AGL46" s="301"/>
      <c r="AGM46" s="301"/>
      <c r="AGN46" s="301"/>
      <c r="AGO46" s="301"/>
      <c r="AGP46" s="301"/>
      <c r="AGQ46" s="301"/>
      <c r="AGR46" s="301"/>
      <c r="AGS46" s="301"/>
      <c r="AGT46" s="301"/>
      <c r="AGU46" s="301"/>
      <c r="AGV46" s="301"/>
      <c r="AGW46" s="301"/>
      <c r="AGX46" s="301"/>
      <c r="AGY46" s="301"/>
      <c r="AGZ46" s="301"/>
      <c r="AHA46" s="301"/>
      <c r="AHB46" s="301"/>
      <c r="AHC46" s="301"/>
      <c r="AHD46" s="301"/>
      <c r="AHE46" s="301"/>
      <c r="AHF46" s="301"/>
      <c r="AHG46" s="301"/>
      <c r="AHH46" s="301"/>
      <c r="AHI46" s="301"/>
      <c r="AHJ46" s="301"/>
      <c r="AHK46" s="301"/>
      <c r="AHL46" s="301"/>
      <c r="AHM46" s="301"/>
      <c r="AHN46" s="301"/>
      <c r="AHO46" s="301"/>
      <c r="AHP46" s="301"/>
      <c r="AHQ46" s="301"/>
      <c r="AHR46" s="301"/>
      <c r="AHS46" s="301"/>
      <c r="AHT46" s="301"/>
      <c r="AHU46" s="301"/>
      <c r="AHV46" s="301"/>
      <c r="AHW46" s="301"/>
      <c r="AHX46" s="301"/>
      <c r="AHY46" s="301"/>
      <c r="AHZ46" s="301"/>
      <c r="AIA46" s="301"/>
      <c r="AIB46" s="301"/>
      <c r="AIC46" s="301"/>
      <c r="AID46" s="301"/>
      <c r="AIE46" s="301"/>
      <c r="AIF46" s="301"/>
      <c r="AIG46" s="301"/>
      <c r="AIH46" s="301"/>
      <c r="AII46" s="301"/>
      <c r="AIJ46" s="301"/>
      <c r="AIK46" s="301"/>
      <c r="AIL46" s="301"/>
      <c r="AIM46" s="301"/>
      <c r="AIN46" s="301"/>
      <c r="AIO46" s="301"/>
      <c r="AIP46" s="301"/>
      <c r="AIQ46" s="301"/>
      <c r="AIR46" s="301"/>
      <c r="AIS46" s="301"/>
      <c r="AIT46" s="301"/>
      <c r="AIU46" s="301"/>
      <c r="AIV46" s="301"/>
      <c r="AIW46" s="301"/>
      <c r="AIX46" s="301"/>
      <c r="AIY46" s="301"/>
      <c r="AIZ46" s="301"/>
      <c r="AJA46" s="301"/>
      <c r="AJB46" s="301"/>
      <c r="AJC46" s="301"/>
      <c r="AJD46" s="301"/>
      <c r="AJE46" s="301"/>
      <c r="AJF46" s="301"/>
      <c r="AJG46" s="301"/>
      <c r="AJH46" s="301"/>
      <c r="AJI46" s="301"/>
      <c r="AJJ46" s="301"/>
      <c r="AJK46" s="301"/>
      <c r="AJL46" s="301"/>
      <c r="AJM46" s="301"/>
      <c r="AJN46" s="301"/>
      <c r="AJO46" s="301"/>
      <c r="AJP46" s="301"/>
      <c r="AJQ46" s="301"/>
      <c r="AJR46" s="301"/>
      <c r="AJS46" s="301"/>
      <c r="AJT46" s="301"/>
      <c r="AJU46" s="301"/>
      <c r="AJV46" s="301"/>
      <c r="AJW46" s="301"/>
      <c r="AJX46" s="301"/>
      <c r="AJY46" s="301"/>
      <c r="AJZ46" s="301"/>
      <c r="AKA46" s="301"/>
      <c r="AKB46" s="301"/>
      <c r="AKC46" s="301"/>
      <c r="AKD46" s="301"/>
      <c r="AKE46" s="301"/>
      <c r="AKF46" s="301"/>
      <c r="AKG46" s="301"/>
      <c r="AKH46" s="301"/>
      <c r="AKI46" s="301"/>
      <c r="AKJ46" s="301"/>
      <c r="AKK46" s="301"/>
      <c r="AKL46" s="301"/>
      <c r="AKM46" s="301"/>
      <c r="AKN46" s="301"/>
      <c r="AKO46" s="301"/>
      <c r="AKP46" s="301"/>
      <c r="AKQ46" s="301"/>
      <c r="AKR46" s="301"/>
      <c r="AKS46" s="301"/>
      <c r="AKT46" s="301"/>
      <c r="AKU46" s="301"/>
      <c r="AKV46" s="301"/>
      <c r="AKW46" s="301"/>
      <c r="AKX46" s="301"/>
      <c r="AKY46" s="301"/>
      <c r="AKZ46" s="301"/>
      <c r="ALA46" s="301"/>
      <c r="ALB46" s="301"/>
      <c r="ALC46" s="301"/>
      <c r="ALD46" s="301"/>
      <c r="ALE46" s="301"/>
      <c r="ALF46" s="301"/>
      <c r="ALG46" s="301"/>
      <c r="ALH46" s="301"/>
      <c r="ALI46" s="301"/>
      <c r="ALJ46" s="301"/>
      <c r="ALK46" s="301"/>
      <c r="ALL46" s="301"/>
      <c r="ALM46" s="301"/>
      <c r="ALN46" s="301"/>
      <c r="ALO46" s="301"/>
      <c r="ALP46" s="301"/>
      <c r="ALQ46" s="301"/>
      <c r="ALR46" s="301"/>
      <c r="ALS46" s="301"/>
      <c r="ALT46" s="301"/>
      <c r="ALU46" s="301"/>
      <c r="ALV46" s="301"/>
      <c r="ALW46" s="301"/>
      <c r="ALX46" s="301"/>
      <c r="ALY46" s="301"/>
      <c r="ALZ46" s="301"/>
      <c r="AMA46" s="301"/>
      <c r="AMB46" s="301"/>
      <c r="AMC46" s="301"/>
      <c r="AMD46" s="301"/>
      <c r="AME46" s="301"/>
      <c r="AMF46" s="301"/>
      <c r="AMG46" s="301"/>
      <c r="AMH46" s="301"/>
      <c r="AMI46" s="301"/>
      <c r="AMJ46" s="301"/>
    </row>
    <row r="47" customFormat="false" ht="12.8" hidden="false" customHeight="false" outlineLevel="0" collapsed="false">
      <c r="B47" s="319"/>
      <c r="C47" s="298"/>
      <c r="D47" s="319"/>
      <c r="E47" s="298"/>
      <c r="F47" s="319"/>
      <c r="G47" s="298"/>
      <c r="H47" s="319"/>
      <c r="I47" s="298"/>
    </row>
    <row r="48" customFormat="false" ht="12.8" hidden="false" customHeight="false" outlineLevel="0" collapsed="false">
      <c r="A48" s="327" t="s">
        <v>203</v>
      </c>
      <c r="B48" s="328" t="str">
        <f aca="false">IF(SUM(B43:B46),SUM(B43:B46),"")</f>
        <v/>
      </c>
      <c r="C48" s="329"/>
      <c r="D48" s="328" t="str">
        <f aca="false">IF(SUM(D43:D46),SUM(D43:D46),"")</f>
        <v/>
      </c>
      <c r="E48" s="329"/>
      <c r="F48" s="328" t="str">
        <f aca="false">IF(SUM(F43:F46),SUM(F43:F46),"")</f>
        <v/>
      </c>
      <c r="G48" s="329"/>
      <c r="H48" s="328" t="str">
        <f aca="false">IF(SUM(H43:H46),SUM(H43:H46),"")</f>
        <v/>
      </c>
      <c r="I48" s="329"/>
      <c r="J48" s="328" t="str">
        <f aca="false">IF(SUM(J43:J46),SUM(J43:J46),"")</f>
        <v/>
      </c>
      <c r="K48" s="329"/>
      <c r="L48" s="301"/>
      <c r="M48" s="301"/>
      <c r="N48" s="301"/>
      <c r="O48" s="301"/>
      <c r="P48" s="301"/>
      <c r="Q48" s="301"/>
      <c r="R48" s="301"/>
      <c r="S48" s="301"/>
      <c r="T48" s="301"/>
      <c r="U48" s="301"/>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301"/>
      <c r="BP48" s="301"/>
      <c r="BQ48" s="301"/>
      <c r="BR48" s="301"/>
      <c r="BS48" s="301"/>
      <c r="BT48" s="301"/>
      <c r="BU48" s="301"/>
      <c r="BV48" s="301"/>
      <c r="BW48" s="301"/>
      <c r="BX48" s="301"/>
      <c r="BY48" s="301"/>
      <c r="BZ48" s="301"/>
      <c r="CA48" s="301"/>
      <c r="CB48" s="301"/>
      <c r="CC48" s="301"/>
      <c r="CD48" s="301"/>
      <c r="CE48" s="301"/>
      <c r="CF48" s="301"/>
      <c r="CG48" s="301"/>
      <c r="CH48" s="301"/>
      <c r="CI48" s="301"/>
      <c r="CJ48" s="301"/>
      <c r="CK48" s="301"/>
      <c r="CL48" s="301"/>
      <c r="CM48" s="301"/>
      <c r="CN48" s="301"/>
      <c r="CO48" s="301"/>
      <c r="CP48" s="301"/>
      <c r="CQ48" s="301"/>
      <c r="CR48" s="301"/>
      <c r="CS48" s="301"/>
      <c r="CT48" s="301"/>
      <c r="CU48" s="301"/>
      <c r="CV48" s="301"/>
      <c r="CW48" s="301"/>
      <c r="CX48" s="301"/>
      <c r="CY48" s="301"/>
      <c r="CZ48" s="301"/>
      <c r="DA48" s="301"/>
      <c r="DB48" s="301"/>
      <c r="DC48" s="301"/>
      <c r="DD48" s="301"/>
      <c r="DE48" s="301"/>
      <c r="DF48" s="301"/>
      <c r="DG48" s="301"/>
      <c r="DH48" s="301"/>
      <c r="DI48" s="301"/>
      <c r="DJ48" s="301"/>
      <c r="DK48" s="301"/>
      <c r="DL48" s="301"/>
      <c r="DM48" s="301"/>
      <c r="DN48" s="301"/>
      <c r="DO48" s="301"/>
      <c r="DP48" s="301"/>
      <c r="DQ48" s="301"/>
      <c r="DR48" s="301"/>
      <c r="DS48" s="301"/>
      <c r="DT48" s="301"/>
      <c r="DU48" s="301"/>
      <c r="DV48" s="301"/>
      <c r="DW48" s="301"/>
      <c r="DX48" s="301"/>
      <c r="DY48" s="301"/>
      <c r="DZ48" s="301"/>
      <c r="EA48" s="301"/>
      <c r="EB48" s="301"/>
      <c r="EC48" s="301"/>
      <c r="ED48" s="301"/>
      <c r="EE48" s="301"/>
      <c r="EF48" s="301"/>
      <c r="EG48" s="301"/>
      <c r="EH48" s="301"/>
      <c r="EI48" s="301"/>
      <c r="EJ48" s="301"/>
      <c r="EK48" s="301"/>
      <c r="EL48" s="301"/>
      <c r="EM48" s="301"/>
      <c r="EN48" s="301"/>
      <c r="EO48" s="301"/>
      <c r="EP48" s="301"/>
      <c r="EQ48" s="301"/>
      <c r="ER48" s="301"/>
      <c r="ES48" s="301"/>
      <c r="ET48" s="301"/>
      <c r="EU48" s="301"/>
      <c r="EV48" s="301"/>
      <c r="EW48" s="301"/>
      <c r="EX48" s="301"/>
      <c r="EY48" s="301"/>
      <c r="EZ48" s="301"/>
      <c r="FA48" s="301"/>
      <c r="FB48" s="301"/>
      <c r="FC48" s="301"/>
      <c r="FD48" s="301"/>
      <c r="FE48" s="301"/>
      <c r="FF48" s="301"/>
      <c r="FG48" s="301"/>
      <c r="FH48" s="301"/>
      <c r="FI48" s="301"/>
      <c r="FJ48" s="301"/>
      <c r="FK48" s="301"/>
      <c r="FL48" s="301"/>
      <c r="FM48" s="301"/>
      <c r="FN48" s="301"/>
      <c r="FO48" s="301"/>
      <c r="FP48" s="301"/>
      <c r="FQ48" s="301"/>
      <c r="FR48" s="301"/>
      <c r="FS48" s="301"/>
      <c r="FT48" s="301"/>
      <c r="FU48" s="301"/>
      <c r="FV48" s="301"/>
      <c r="FW48" s="301"/>
      <c r="FX48" s="301"/>
      <c r="FY48" s="301"/>
      <c r="FZ48" s="301"/>
      <c r="GA48" s="301"/>
      <c r="GB48" s="301"/>
      <c r="GC48" s="301"/>
      <c r="GD48" s="301"/>
      <c r="GE48" s="301"/>
      <c r="GF48" s="301"/>
      <c r="GG48" s="301"/>
      <c r="GH48" s="301"/>
      <c r="GI48" s="301"/>
      <c r="GJ48" s="301"/>
      <c r="GK48" s="301"/>
      <c r="GL48" s="301"/>
      <c r="GM48" s="301"/>
      <c r="GN48" s="301"/>
      <c r="GO48" s="301"/>
      <c r="GP48" s="301"/>
      <c r="GQ48" s="301"/>
      <c r="GR48" s="301"/>
      <c r="GS48" s="301"/>
      <c r="GT48" s="301"/>
      <c r="GU48" s="301"/>
      <c r="GV48" s="301"/>
      <c r="GW48" s="301"/>
      <c r="GX48" s="301"/>
      <c r="GY48" s="301"/>
      <c r="GZ48" s="301"/>
      <c r="HA48" s="301"/>
      <c r="HB48" s="301"/>
      <c r="HC48" s="301"/>
      <c r="HD48" s="301"/>
      <c r="HE48" s="301"/>
      <c r="HF48" s="301"/>
      <c r="HG48" s="301"/>
      <c r="HH48" s="301"/>
      <c r="HI48" s="301"/>
      <c r="HJ48" s="301"/>
      <c r="HK48" s="301"/>
      <c r="HL48" s="301"/>
      <c r="HM48" s="301"/>
      <c r="HN48" s="301"/>
      <c r="HO48" s="301"/>
      <c r="HP48" s="301"/>
      <c r="HQ48" s="301"/>
      <c r="HR48" s="301"/>
      <c r="HS48" s="301"/>
      <c r="HT48" s="301"/>
      <c r="HU48" s="301"/>
      <c r="HV48" s="301"/>
      <c r="HW48" s="301"/>
      <c r="HX48" s="301"/>
      <c r="HY48" s="301"/>
      <c r="HZ48" s="301"/>
      <c r="IA48" s="301"/>
      <c r="IB48" s="301"/>
      <c r="IC48" s="301"/>
      <c r="ID48" s="301"/>
      <c r="IE48" s="301"/>
      <c r="IF48" s="301"/>
      <c r="IG48" s="301"/>
      <c r="IH48" s="301"/>
      <c r="II48" s="301"/>
      <c r="IJ48" s="301"/>
      <c r="IK48" s="301"/>
      <c r="IL48" s="301"/>
      <c r="IM48" s="301"/>
      <c r="IN48" s="301"/>
      <c r="IO48" s="301"/>
      <c r="IP48" s="301"/>
      <c r="IQ48" s="301"/>
      <c r="IR48" s="301"/>
      <c r="IS48" s="301"/>
      <c r="IT48" s="301"/>
      <c r="IU48" s="301"/>
      <c r="IV48" s="301"/>
      <c r="IW48" s="301"/>
      <c r="IX48" s="301"/>
      <c r="IY48" s="301"/>
      <c r="IZ48" s="301"/>
      <c r="JA48" s="301"/>
      <c r="JB48" s="301"/>
      <c r="JC48" s="301"/>
      <c r="JD48" s="301"/>
      <c r="JE48" s="301"/>
      <c r="JF48" s="301"/>
      <c r="JG48" s="301"/>
      <c r="JH48" s="301"/>
      <c r="JI48" s="301"/>
      <c r="JJ48" s="301"/>
      <c r="JK48" s="301"/>
      <c r="JL48" s="301"/>
      <c r="JM48" s="301"/>
      <c r="JN48" s="301"/>
      <c r="JO48" s="301"/>
      <c r="JP48" s="301"/>
      <c r="JQ48" s="301"/>
      <c r="JR48" s="301"/>
      <c r="JS48" s="301"/>
      <c r="JT48" s="301"/>
      <c r="JU48" s="301"/>
      <c r="JV48" s="301"/>
      <c r="JW48" s="301"/>
      <c r="JX48" s="301"/>
      <c r="JY48" s="301"/>
      <c r="JZ48" s="301"/>
      <c r="KA48" s="301"/>
      <c r="KB48" s="301"/>
      <c r="KC48" s="301"/>
      <c r="KD48" s="301"/>
      <c r="KE48" s="301"/>
      <c r="KF48" s="301"/>
      <c r="KG48" s="301"/>
      <c r="KH48" s="301"/>
      <c r="KI48" s="301"/>
      <c r="KJ48" s="301"/>
      <c r="KK48" s="301"/>
      <c r="KL48" s="301"/>
      <c r="KM48" s="301"/>
      <c r="KN48" s="301"/>
      <c r="KO48" s="301"/>
      <c r="KP48" s="301"/>
      <c r="KQ48" s="301"/>
      <c r="KR48" s="301"/>
      <c r="KS48" s="301"/>
      <c r="KT48" s="301"/>
      <c r="KU48" s="301"/>
      <c r="KV48" s="301"/>
      <c r="KW48" s="301"/>
      <c r="KX48" s="301"/>
      <c r="KY48" s="301"/>
      <c r="KZ48" s="301"/>
      <c r="LA48" s="301"/>
      <c r="LB48" s="301"/>
      <c r="LC48" s="301"/>
      <c r="LD48" s="301"/>
      <c r="LE48" s="301"/>
      <c r="LF48" s="301"/>
      <c r="LG48" s="301"/>
      <c r="LH48" s="301"/>
      <c r="LI48" s="301"/>
      <c r="LJ48" s="301"/>
      <c r="LK48" s="301"/>
      <c r="LL48" s="301"/>
      <c r="LM48" s="301"/>
      <c r="LN48" s="301"/>
      <c r="LO48" s="301"/>
      <c r="LP48" s="301"/>
      <c r="LQ48" s="301"/>
      <c r="LR48" s="301"/>
      <c r="LS48" s="301"/>
      <c r="LT48" s="301"/>
      <c r="LU48" s="301"/>
      <c r="LV48" s="301"/>
      <c r="LW48" s="301"/>
      <c r="LX48" s="301"/>
      <c r="LY48" s="301"/>
      <c r="LZ48" s="301"/>
      <c r="MA48" s="301"/>
      <c r="MB48" s="301"/>
      <c r="MC48" s="301"/>
      <c r="MD48" s="301"/>
      <c r="ME48" s="301"/>
      <c r="MF48" s="301"/>
      <c r="MG48" s="301"/>
      <c r="MH48" s="301"/>
      <c r="MI48" s="301"/>
      <c r="MJ48" s="301"/>
      <c r="MK48" s="301"/>
      <c r="ML48" s="301"/>
      <c r="MM48" s="301"/>
      <c r="MN48" s="301"/>
      <c r="MO48" s="301"/>
      <c r="MP48" s="301"/>
      <c r="MQ48" s="301"/>
      <c r="MR48" s="301"/>
      <c r="MS48" s="301"/>
      <c r="MT48" s="301"/>
      <c r="MU48" s="301"/>
      <c r="MV48" s="301"/>
      <c r="MW48" s="301"/>
      <c r="MX48" s="301"/>
      <c r="MY48" s="301"/>
      <c r="MZ48" s="301"/>
      <c r="NA48" s="301"/>
      <c r="NB48" s="301"/>
      <c r="NC48" s="301"/>
      <c r="ND48" s="301"/>
      <c r="NE48" s="301"/>
      <c r="NF48" s="301"/>
      <c r="NG48" s="301"/>
      <c r="NH48" s="301"/>
      <c r="NI48" s="301"/>
      <c r="NJ48" s="301"/>
      <c r="NK48" s="301"/>
      <c r="NL48" s="301"/>
      <c r="NM48" s="301"/>
      <c r="NN48" s="301"/>
      <c r="NO48" s="301"/>
      <c r="NP48" s="301"/>
      <c r="NQ48" s="301"/>
      <c r="NR48" s="301"/>
      <c r="NS48" s="301"/>
      <c r="NT48" s="301"/>
      <c r="NU48" s="301"/>
      <c r="NV48" s="301"/>
      <c r="NW48" s="301"/>
      <c r="NX48" s="301"/>
      <c r="NY48" s="301"/>
      <c r="NZ48" s="301"/>
      <c r="OA48" s="301"/>
      <c r="OB48" s="301"/>
      <c r="OC48" s="301"/>
      <c r="OD48" s="301"/>
      <c r="OE48" s="301"/>
      <c r="OF48" s="301"/>
      <c r="OG48" s="301"/>
      <c r="OH48" s="301"/>
      <c r="OI48" s="301"/>
      <c r="OJ48" s="301"/>
      <c r="OK48" s="301"/>
      <c r="OL48" s="301"/>
      <c r="OM48" s="301"/>
      <c r="ON48" s="301"/>
      <c r="OO48" s="301"/>
      <c r="OP48" s="301"/>
      <c r="OQ48" s="301"/>
      <c r="OR48" s="301"/>
      <c r="OS48" s="301"/>
      <c r="OT48" s="301"/>
      <c r="OU48" s="301"/>
      <c r="OV48" s="301"/>
      <c r="OW48" s="301"/>
      <c r="OX48" s="301"/>
      <c r="OY48" s="301"/>
      <c r="OZ48" s="301"/>
      <c r="PA48" s="301"/>
      <c r="PB48" s="301"/>
      <c r="PC48" s="301"/>
      <c r="PD48" s="301"/>
      <c r="PE48" s="301"/>
      <c r="PF48" s="301"/>
      <c r="PG48" s="301"/>
      <c r="PH48" s="301"/>
      <c r="PI48" s="301"/>
      <c r="PJ48" s="301"/>
      <c r="PK48" s="301"/>
      <c r="PL48" s="301"/>
      <c r="PM48" s="301"/>
      <c r="PN48" s="301"/>
      <c r="PO48" s="301"/>
      <c r="PP48" s="301"/>
      <c r="PQ48" s="301"/>
      <c r="PR48" s="301"/>
      <c r="PS48" s="301"/>
      <c r="PT48" s="301"/>
      <c r="PU48" s="301"/>
      <c r="PV48" s="301"/>
      <c r="PW48" s="301"/>
      <c r="PX48" s="301"/>
      <c r="PY48" s="301"/>
      <c r="PZ48" s="301"/>
      <c r="QA48" s="301"/>
      <c r="QB48" s="301"/>
      <c r="QC48" s="301"/>
      <c r="QD48" s="301"/>
      <c r="QE48" s="301"/>
      <c r="QF48" s="301"/>
      <c r="QG48" s="301"/>
      <c r="QH48" s="301"/>
      <c r="QI48" s="301"/>
      <c r="QJ48" s="301"/>
      <c r="QK48" s="301"/>
      <c r="QL48" s="301"/>
      <c r="QM48" s="301"/>
      <c r="QN48" s="301"/>
      <c r="QO48" s="301"/>
      <c r="QP48" s="301"/>
      <c r="QQ48" s="301"/>
      <c r="QR48" s="301"/>
      <c r="QS48" s="301"/>
      <c r="QT48" s="301"/>
      <c r="QU48" s="301"/>
      <c r="QV48" s="301"/>
      <c r="QW48" s="301"/>
      <c r="QX48" s="301"/>
      <c r="QY48" s="301"/>
      <c r="QZ48" s="301"/>
      <c r="RA48" s="301"/>
      <c r="RB48" s="301"/>
      <c r="RC48" s="301"/>
      <c r="RD48" s="301"/>
      <c r="RE48" s="301"/>
      <c r="RF48" s="301"/>
      <c r="RG48" s="301"/>
      <c r="RH48" s="301"/>
      <c r="RI48" s="301"/>
      <c r="RJ48" s="301"/>
      <c r="RK48" s="301"/>
      <c r="RL48" s="301"/>
      <c r="RM48" s="301"/>
      <c r="RN48" s="301"/>
      <c r="RO48" s="301"/>
      <c r="RP48" s="301"/>
      <c r="RQ48" s="301"/>
      <c r="RR48" s="301"/>
      <c r="RS48" s="301"/>
      <c r="RT48" s="301"/>
      <c r="RU48" s="301"/>
      <c r="RV48" s="301"/>
      <c r="RW48" s="301"/>
      <c r="RX48" s="301"/>
      <c r="RY48" s="301"/>
      <c r="RZ48" s="301"/>
      <c r="SA48" s="301"/>
      <c r="SB48" s="301"/>
      <c r="SC48" s="301"/>
      <c r="SD48" s="301"/>
      <c r="SE48" s="301"/>
      <c r="SF48" s="301"/>
      <c r="SG48" s="301"/>
      <c r="SH48" s="301"/>
      <c r="SI48" s="301"/>
      <c r="SJ48" s="301"/>
      <c r="SK48" s="301"/>
      <c r="SL48" s="301"/>
      <c r="SM48" s="301"/>
      <c r="SN48" s="301"/>
      <c r="SO48" s="301"/>
      <c r="SP48" s="301"/>
      <c r="SQ48" s="301"/>
      <c r="SR48" s="301"/>
      <c r="SS48" s="301"/>
      <c r="ST48" s="301"/>
      <c r="SU48" s="301"/>
      <c r="SV48" s="301"/>
      <c r="SW48" s="301"/>
      <c r="SX48" s="301"/>
      <c r="SY48" s="301"/>
      <c r="SZ48" s="301"/>
      <c r="TA48" s="301"/>
      <c r="TB48" s="301"/>
      <c r="TC48" s="301"/>
      <c r="TD48" s="301"/>
      <c r="TE48" s="301"/>
      <c r="TF48" s="301"/>
      <c r="TG48" s="301"/>
      <c r="TH48" s="301"/>
      <c r="TI48" s="301"/>
      <c r="TJ48" s="301"/>
      <c r="TK48" s="301"/>
      <c r="TL48" s="301"/>
      <c r="TM48" s="301"/>
      <c r="TN48" s="301"/>
      <c r="TO48" s="301"/>
      <c r="TP48" s="301"/>
      <c r="TQ48" s="301"/>
      <c r="TR48" s="301"/>
      <c r="TS48" s="301"/>
      <c r="TT48" s="301"/>
      <c r="TU48" s="301"/>
      <c r="TV48" s="301"/>
      <c r="TW48" s="301"/>
      <c r="TX48" s="301"/>
      <c r="TY48" s="301"/>
      <c r="TZ48" s="301"/>
      <c r="UA48" s="301"/>
      <c r="UB48" s="301"/>
      <c r="UC48" s="301"/>
      <c r="UD48" s="301"/>
      <c r="UE48" s="301"/>
      <c r="UF48" s="301"/>
      <c r="UG48" s="301"/>
      <c r="UH48" s="301"/>
      <c r="UI48" s="301"/>
      <c r="UJ48" s="301"/>
      <c r="UK48" s="301"/>
      <c r="UL48" s="301"/>
      <c r="UM48" s="301"/>
      <c r="UN48" s="301"/>
      <c r="UO48" s="301"/>
      <c r="UP48" s="301"/>
      <c r="UQ48" s="301"/>
      <c r="UR48" s="301"/>
      <c r="US48" s="301"/>
      <c r="UT48" s="301"/>
      <c r="UU48" s="301"/>
      <c r="UV48" s="301"/>
      <c r="UW48" s="301"/>
      <c r="UX48" s="301"/>
      <c r="UY48" s="301"/>
      <c r="UZ48" s="301"/>
      <c r="VA48" s="301"/>
      <c r="VB48" s="301"/>
      <c r="VC48" s="301"/>
      <c r="VD48" s="301"/>
      <c r="VE48" s="301"/>
      <c r="VF48" s="301"/>
      <c r="VG48" s="301"/>
      <c r="VH48" s="301"/>
      <c r="VI48" s="301"/>
      <c r="VJ48" s="301"/>
      <c r="VK48" s="301"/>
      <c r="VL48" s="301"/>
      <c r="VM48" s="301"/>
      <c r="VN48" s="301"/>
      <c r="VO48" s="301"/>
      <c r="VP48" s="301"/>
      <c r="VQ48" s="301"/>
      <c r="VR48" s="301"/>
      <c r="VS48" s="301"/>
      <c r="VT48" s="301"/>
      <c r="VU48" s="301"/>
      <c r="VV48" s="301"/>
      <c r="VW48" s="301"/>
      <c r="VX48" s="301"/>
      <c r="VY48" s="301"/>
      <c r="VZ48" s="301"/>
      <c r="WA48" s="301"/>
      <c r="WB48" s="301"/>
      <c r="WC48" s="301"/>
      <c r="WD48" s="301"/>
      <c r="WE48" s="301"/>
      <c r="WF48" s="301"/>
      <c r="WG48" s="301"/>
      <c r="WH48" s="301"/>
      <c r="WI48" s="301"/>
      <c r="WJ48" s="301"/>
      <c r="WK48" s="301"/>
      <c r="WL48" s="301"/>
      <c r="WM48" s="301"/>
      <c r="WN48" s="301"/>
      <c r="WO48" s="301"/>
      <c r="WP48" s="301"/>
      <c r="WQ48" s="301"/>
      <c r="WR48" s="301"/>
      <c r="WS48" s="301"/>
      <c r="WT48" s="301"/>
      <c r="WU48" s="301"/>
      <c r="WV48" s="301"/>
      <c r="WW48" s="301"/>
      <c r="WX48" s="301"/>
      <c r="WY48" s="301"/>
      <c r="WZ48" s="301"/>
      <c r="XA48" s="301"/>
      <c r="XB48" s="301"/>
      <c r="XC48" s="301"/>
      <c r="XD48" s="301"/>
      <c r="XE48" s="301"/>
      <c r="XF48" s="301"/>
      <c r="XG48" s="301"/>
      <c r="XH48" s="301"/>
      <c r="XI48" s="301"/>
      <c r="XJ48" s="301"/>
      <c r="XK48" s="301"/>
      <c r="XL48" s="301"/>
      <c r="XM48" s="301"/>
      <c r="XN48" s="301"/>
      <c r="XO48" s="301"/>
      <c r="XP48" s="301"/>
      <c r="XQ48" s="301"/>
      <c r="XR48" s="301"/>
      <c r="XS48" s="301"/>
      <c r="XT48" s="301"/>
      <c r="XU48" s="301"/>
      <c r="XV48" s="301"/>
      <c r="XW48" s="301"/>
      <c r="XX48" s="301"/>
      <c r="XY48" s="301"/>
      <c r="XZ48" s="301"/>
      <c r="YA48" s="301"/>
      <c r="YB48" s="301"/>
      <c r="YC48" s="301"/>
      <c r="YD48" s="301"/>
      <c r="YE48" s="301"/>
      <c r="YF48" s="301"/>
      <c r="YG48" s="301"/>
      <c r="YH48" s="301"/>
      <c r="YI48" s="301"/>
      <c r="YJ48" s="301"/>
      <c r="YK48" s="301"/>
      <c r="YL48" s="301"/>
      <c r="YM48" s="301"/>
      <c r="YN48" s="301"/>
      <c r="YO48" s="301"/>
      <c r="YP48" s="301"/>
      <c r="YQ48" s="301"/>
      <c r="YR48" s="301"/>
      <c r="YS48" s="301"/>
      <c r="YT48" s="301"/>
      <c r="YU48" s="301"/>
      <c r="YV48" s="301"/>
      <c r="YW48" s="301"/>
      <c r="YX48" s="301"/>
      <c r="YY48" s="301"/>
      <c r="YZ48" s="301"/>
      <c r="ZA48" s="301"/>
      <c r="ZB48" s="301"/>
      <c r="ZC48" s="301"/>
      <c r="ZD48" s="301"/>
      <c r="ZE48" s="301"/>
      <c r="ZF48" s="301"/>
      <c r="ZG48" s="301"/>
      <c r="ZH48" s="301"/>
      <c r="ZI48" s="301"/>
      <c r="ZJ48" s="301"/>
      <c r="ZK48" s="301"/>
      <c r="ZL48" s="301"/>
      <c r="ZM48" s="301"/>
      <c r="ZN48" s="301"/>
      <c r="ZO48" s="301"/>
      <c r="ZP48" s="301"/>
      <c r="ZQ48" s="301"/>
      <c r="ZR48" s="301"/>
      <c r="ZS48" s="301"/>
      <c r="ZT48" s="301"/>
      <c r="ZU48" s="301"/>
      <c r="ZV48" s="301"/>
      <c r="ZW48" s="301"/>
      <c r="ZX48" s="301"/>
      <c r="ZY48" s="301"/>
      <c r="ZZ48" s="301"/>
      <c r="AAA48" s="301"/>
      <c r="AAB48" s="301"/>
      <c r="AAC48" s="301"/>
      <c r="AAD48" s="301"/>
      <c r="AAE48" s="301"/>
      <c r="AAF48" s="301"/>
      <c r="AAG48" s="301"/>
      <c r="AAH48" s="301"/>
      <c r="AAI48" s="301"/>
      <c r="AAJ48" s="301"/>
      <c r="AAK48" s="301"/>
      <c r="AAL48" s="301"/>
      <c r="AAM48" s="301"/>
      <c r="AAN48" s="301"/>
      <c r="AAO48" s="301"/>
      <c r="AAP48" s="301"/>
      <c r="AAQ48" s="301"/>
      <c r="AAR48" s="301"/>
      <c r="AAS48" s="301"/>
      <c r="AAT48" s="301"/>
      <c r="AAU48" s="301"/>
      <c r="AAV48" s="301"/>
      <c r="AAW48" s="301"/>
      <c r="AAX48" s="301"/>
      <c r="AAY48" s="301"/>
      <c r="AAZ48" s="301"/>
      <c r="ABA48" s="301"/>
      <c r="ABB48" s="301"/>
      <c r="ABC48" s="301"/>
      <c r="ABD48" s="301"/>
      <c r="ABE48" s="301"/>
      <c r="ABF48" s="301"/>
      <c r="ABG48" s="301"/>
      <c r="ABH48" s="301"/>
      <c r="ABI48" s="301"/>
      <c r="ABJ48" s="301"/>
      <c r="ABK48" s="301"/>
      <c r="ABL48" s="301"/>
      <c r="ABM48" s="301"/>
      <c r="ABN48" s="301"/>
      <c r="ABO48" s="301"/>
      <c r="ABP48" s="301"/>
      <c r="ABQ48" s="301"/>
      <c r="ABR48" s="301"/>
      <c r="ABS48" s="301"/>
      <c r="ABT48" s="301"/>
      <c r="ABU48" s="301"/>
      <c r="ABV48" s="301"/>
      <c r="ABW48" s="301"/>
      <c r="ABX48" s="301"/>
      <c r="ABY48" s="301"/>
      <c r="ABZ48" s="301"/>
      <c r="ACA48" s="301"/>
      <c r="ACB48" s="301"/>
      <c r="ACC48" s="301"/>
      <c r="ACD48" s="301"/>
      <c r="ACE48" s="301"/>
      <c r="ACF48" s="301"/>
      <c r="ACG48" s="301"/>
      <c r="ACH48" s="301"/>
      <c r="ACI48" s="301"/>
      <c r="ACJ48" s="301"/>
      <c r="ACK48" s="301"/>
      <c r="ACL48" s="301"/>
      <c r="ACM48" s="301"/>
      <c r="ACN48" s="301"/>
      <c r="ACO48" s="301"/>
      <c r="ACP48" s="301"/>
      <c r="ACQ48" s="301"/>
      <c r="ACR48" s="301"/>
      <c r="ACS48" s="301"/>
      <c r="ACT48" s="301"/>
      <c r="ACU48" s="301"/>
      <c r="ACV48" s="301"/>
      <c r="ACW48" s="301"/>
      <c r="ACX48" s="301"/>
      <c r="ACY48" s="301"/>
      <c r="ACZ48" s="301"/>
      <c r="ADA48" s="301"/>
      <c r="ADB48" s="301"/>
      <c r="ADC48" s="301"/>
      <c r="ADD48" s="301"/>
      <c r="ADE48" s="301"/>
      <c r="ADF48" s="301"/>
      <c r="ADG48" s="301"/>
      <c r="ADH48" s="301"/>
      <c r="ADI48" s="301"/>
      <c r="ADJ48" s="301"/>
      <c r="ADK48" s="301"/>
      <c r="ADL48" s="301"/>
      <c r="ADM48" s="301"/>
      <c r="ADN48" s="301"/>
      <c r="ADO48" s="301"/>
      <c r="ADP48" s="301"/>
      <c r="ADQ48" s="301"/>
      <c r="ADR48" s="301"/>
      <c r="ADS48" s="301"/>
      <c r="ADT48" s="301"/>
      <c r="ADU48" s="301"/>
      <c r="ADV48" s="301"/>
      <c r="ADW48" s="301"/>
      <c r="ADX48" s="301"/>
      <c r="ADY48" s="301"/>
      <c r="ADZ48" s="301"/>
      <c r="AEA48" s="301"/>
      <c r="AEB48" s="301"/>
      <c r="AEC48" s="301"/>
      <c r="AED48" s="301"/>
      <c r="AEE48" s="301"/>
      <c r="AEF48" s="301"/>
      <c r="AEG48" s="301"/>
      <c r="AEH48" s="301"/>
      <c r="AEI48" s="301"/>
      <c r="AEJ48" s="301"/>
      <c r="AEK48" s="301"/>
      <c r="AEL48" s="301"/>
      <c r="AEM48" s="301"/>
      <c r="AEN48" s="301"/>
      <c r="AEO48" s="301"/>
      <c r="AEP48" s="301"/>
      <c r="AEQ48" s="301"/>
      <c r="AER48" s="301"/>
      <c r="AES48" s="301"/>
      <c r="AET48" s="301"/>
      <c r="AEU48" s="301"/>
      <c r="AEV48" s="301"/>
      <c r="AEW48" s="301"/>
      <c r="AEX48" s="301"/>
      <c r="AEY48" s="301"/>
      <c r="AEZ48" s="301"/>
      <c r="AFA48" s="301"/>
      <c r="AFB48" s="301"/>
      <c r="AFC48" s="301"/>
      <c r="AFD48" s="301"/>
      <c r="AFE48" s="301"/>
      <c r="AFF48" s="301"/>
      <c r="AFG48" s="301"/>
      <c r="AFH48" s="301"/>
      <c r="AFI48" s="301"/>
      <c r="AFJ48" s="301"/>
      <c r="AFK48" s="301"/>
      <c r="AFL48" s="301"/>
      <c r="AFM48" s="301"/>
      <c r="AFN48" s="301"/>
      <c r="AFO48" s="301"/>
      <c r="AFP48" s="301"/>
      <c r="AFQ48" s="301"/>
      <c r="AFR48" s="301"/>
      <c r="AFS48" s="301"/>
      <c r="AFT48" s="301"/>
      <c r="AFU48" s="301"/>
      <c r="AFV48" s="301"/>
      <c r="AFW48" s="301"/>
      <c r="AFX48" s="301"/>
      <c r="AFY48" s="301"/>
      <c r="AFZ48" s="301"/>
      <c r="AGA48" s="301"/>
      <c r="AGB48" s="301"/>
      <c r="AGC48" s="301"/>
      <c r="AGD48" s="301"/>
      <c r="AGE48" s="301"/>
      <c r="AGF48" s="301"/>
      <c r="AGG48" s="301"/>
      <c r="AGH48" s="301"/>
      <c r="AGI48" s="301"/>
      <c r="AGJ48" s="301"/>
      <c r="AGK48" s="301"/>
      <c r="AGL48" s="301"/>
      <c r="AGM48" s="301"/>
      <c r="AGN48" s="301"/>
      <c r="AGO48" s="301"/>
      <c r="AGP48" s="301"/>
      <c r="AGQ48" s="301"/>
      <c r="AGR48" s="301"/>
      <c r="AGS48" s="301"/>
      <c r="AGT48" s="301"/>
      <c r="AGU48" s="301"/>
      <c r="AGV48" s="301"/>
      <c r="AGW48" s="301"/>
      <c r="AGX48" s="301"/>
      <c r="AGY48" s="301"/>
      <c r="AGZ48" s="301"/>
      <c r="AHA48" s="301"/>
      <c r="AHB48" s="301"/>
      <c r="AHC48" s="301"/>
      <c r="AHD48" s="301"/>
      <c r="AHE48" s="301"/>
      <c r="AHF48" s="301"/>
      <c r="AHG48" s="301"/>
      <c r="AHH48" s="301"/>
      <c r="AHI48" s="301"/>
      <c r="AHJ48" s="301"/>
      <c r="AHK48" s="301"/>
      <c r="AHL48" s="301"/>
      <c r="AHM48" s="301"/>
      <c r="AHN48" s="301"/>
      <c r="AHO48" s="301"/>
      <c r="AHP48" s="301"/>
      <c r="AHQ48" s="301"/>
      <c r="AHR48" s="301"/>
      <c r="AHS48" s="301"/>
      <c r="AHT48" s="301"/>
      <c r="AHU48" s="301"/>
      <c r="AHV48" s="301"/>
      <c r="AHW48" s="301"/>
      <c r="AHX48" s="301"/>
      <c r="AHY48" s="301"/>
      <c r="AHZ48" s="301"/>
      <c r="AIA48" s="301"/>
      <c r="AIB48" s="301"/>
      <c r="AIC48" s="301"/>
      <c r="AID48" s="301"/>
      <c r="AIE48" s="301"/>
      <c r="AIF48" s="301"/>
      <c r="AIG48" s="301"/>
      <c r="AIH48" s="301"/>
      <c r="AII48" s="301"/>
      <c r="AIJ48" s="301"/>
      <c r="AIK48" s="301"/>
      <c r="AIL48" s="301"/>
      <c r="AIM48" s="301"/>
      <c r="AIN48" s="301"/>
      <c r="AIO48" s="301"/>
      <c r="AIP48" s="301"/>
      <c r="AIQ48" s="301"/>
      <c r="AIR48" s="301"/>
      <c r="AIS48" s="301"/>
      <c r="AIT48" s="301"/>
      <c r="AIU48" s="301"/>
      <c r="AIV48" s="301"/>
      <c r="AIW48" s="301"/>
      <c r="AIX48" s="301"/>
      <c r="AIY48" s="301"/>
      <c r="AIZ48" s="301"/>
      <c r="AJA48" s="301"/>
      <c r="AJB48" s="301"/>
      <c r="AJC48" s="301"/>
      <c r="AJD48" s="301"/>
      <c r="AJE48" s="301"/>
      <c r="AJF48" s="301"/>
      <c r="AJG48" s="301"/>
      <c r="AJH48" s="301"/>
      <c r="AJI48" s="301"/>
      <c r="AJJ48" s="301"/>
      <c r="AJK48" s="301"/>
      <c r="AJL48" s="301"/>
      <c r="AJM48" s="301"/>
      <c r="AJN48" s="301"/>
      <c r="AJO48" s="301"/>
      <c r="AJP48" s="301"/>
      <c r="AJQ48" s="301"/>
      <c r="AJR48" s="301"/>
      <c r="AJS48" s="301"/>
      <c r="AJT48" s="301"/>
      <c r="AJU48" s="301"/>
      <c r="AJV48" s="301"/>
      <c r="AJW48" s="301"/>
      <c r="AJX48" s="301"/>
      <c r="AJY48" s="301"/>
      <c r="AJZ48" s="301"/>
      <c r="AKA48" s="301"/>
      <c r="AKB48" s="301"/>
      <c r="AKC48" s="301"/>
      <c r="AKD48" s="301"/>
      <c r="AKE48" s="301"/>
      <c r="AKF48" s="301"/>
      <c r="AKG48" s="301"/>
      <c r="AKH48" s="301"/>
      <c r="AKI48" s="301"/>
      <c r="AKJ48" s="301"/>
      <c r="AKK48" s="301"/>
      <c r="AKL48" s="301"/>
      <c r="AKM48" s="301"/>
      <c r="AKN48" s="301"/>
      <c r="AKO48" s="301"/>
      <c r="AKP48" s="301"/>
      <c r="AKQ48" s="301"/>
      <c r="AKR48" s="301"/>
      <c r="AKS48" s="301"/>
      <c r="AKT48" s="301"/>
      <c r="AKU48" s="301"/>
      <c r="AKV48" s="301"/>
      <c r="AKW48" s="301"/>
      <c r="AKX48" s="301"/>
      <c r="AKY48" s="301"/>
      <c r="AKZ48" s="301"/>
      <c r="ALA48" s="301"/>
      <c r="ALB48" s="301"/>
      <c r="ALC48" s="301"/>
      <c r="ALD48" s="301"/>
      <c r="ALE48" s="301"/>
      <c r="ALF48" s="301"/>
      <c r="ALG48" s="301"/>
      <c r="ALH48" s="301"/>
      <c r="ALI48" s="301"/>
      <c r="ALJ48" s="301"/>
      <c r="ALK48" s="301"/>
      <c r="ALL48" s="301"/>
      <c r="ALM48" s="301"/>
      <c r="ALN48" s="301"/>
      <c r="ALO48" s="301"/>
      <c r="ALP48" s="301"/>
      <c r="ALQ48" s="301"/>
      <c r="ALR48" s="301"/>
      <c r="ALS48" s="301"/>
      <c r="ALT48" s="301"/>
      <c r="ALU48" s="301"/>
      <c r="ALV48" s="301"/>
      <c r="ALW48" s="301"/>
      <c r="ALX48" s="301"/>
      <c r="ALY48" s="301"/>
      <c r="ALZ48" s="301"/>
      <c r="AMA48" s="301"/>
      <c r="AMB48" s="301"/>
      <c r="AMC48" s="301"/>
      <c r="AMD48" s="301"/>
      <c r="AME48" s="301"/>
      <c r="AMF48" s="301"/>
      <c r="AMG48" s="301"/>
      <c r="AMH48" s="301"/>
      <c r="AMI48" s="301"/>
      <c r="AMJ48" s="301"/>
    </row>
    <row r="50" customFormat="false" ht="12.8" hidden="false" customHeight="false" outlineLevel="0" collapsed="false">
      <c r="A50" s="294" t="s">
        <v>222</v>
      </c>
      <c r="B50" s="295"/>
      <c r="C50" s="295"/>
      <c r="D50" s="295"/>
      <c r="E50" s="295"/>
      <c r="F50" s="295"/>
      <c r="G50" s="295"/>
      <c r="H50" s="295"/>
      <c r="I50" s="295"/>
      <c r="J50" s="295"/>
      <c r="K50" s="295"/>
      <c r="L50" s="296"/>
      <c r="M50" s="296"/>
      <c r="N50" s="296"/>
      <c r="O50" s="296"/>
      <c r="P50" s="296"/>
      <c r="Q50" s="296"/>
      <c r="R50" s="296"/>
      <c r="S50" s="296"/>
      <c r="T50" s="296"/>
      <c r="U50" s="296"/>
      <c r="V50" s="296"/>
      <c r="W50" s="296"/>
      <c r="X50" s="296"/>
      <c r="Y50" s="296"/>
      <c r="Z50" s="296"/>
      <c r="AA50" s="296"/>
      <c r="AB50" s="296"/>
      <c r="AC50" s="296"/>
      <c r="AD50" s="296"/>
      <c r="AE50" s="296"/>
      <c r="AF50" s="296"/>
      <c r="AG50" s="296"/>
      <c r="AH50" s="296"/>
      <c r="AI50" s="296"/>
      <c r="AJ50" s="296"/>
      <c r="AK50" s="296"/>
      <c r="AL50" s="296"/>
      <c r="AM50" s="296"/>
      <c r="AN50" s="296"/>
      <c r="AO50" s="296"/>
      <c r="AP50" s="296"/>
      <c r="AQ50" s="296"/>
      <c r="AR50" s="296"/>
      <c r="AS50" s="296"/>
      <c r="AT50" s="296"/>
      <c r="AU50" s="296"/>
      <c r="AV50" s="296"/>
      <c r="AW50" s="296"/>
      <c r="AX50" s="296"/>
      <c r="AY50" s="296"/>
      <c r="AZ50" s="296"/>
      <c r="BA50" s="296"/>
      <c r="BB50" s="296"/>
      <c r="BC50" s="296"/>
      <c r="BD50" s="296"/>
      <c r="BE50" s="296"/>
      <c r="BF50" s="296"/>
      <c r="BG50" s="296"/>
      <c r="BH50" s="296"/>
      <c r="BI50" s="296"/>
      <c r="BJ50" s="296"/>
      <c r="BK50" s="296"/>
      <c r="BL50" s="296"/>
      <c r="BM50" s="296"/>
      <c r="BN50" s="296"/>
      <c r="BO50" s="296"/>
      <c r="BP50" s="296"/>
      <c r="BQ50" s="296"/>
      <c r="BR50" s="296"/>
      <c r="BS50" s="296"/>
      <c r="BT50" s="296"/>
      <c r="BU50" s="296"/>
      <c r="BV50" s="296"/>
      <c r="BW50" s="296"/>
      <c r="BX50" s="296"/>
      <c r="BY50" s="296"/>
      <c r="BZ50" s="296"/>
      <c r="CA50" s="296"/>
      <c r="CB50" s="296"/>
      <c r="CC50" s="296"/>
      <c r="CD50" s="296"/>
      <c r="CE50" s="296"/>
      <c r="CF50" s="296"/>
      <c r="CG50" s="296"/>
      <c r="CH50" s="296"/>
      <c r="CI50" s="296"/>
      <c r="CJ50" s="296"/>
      <c r="CK50" s="296"/>
      <c r="CL50" s="296"/>
      <c r="CM50" s="296"/>
      <c r="CN50" s="296"/>
      <c r="CO50" s="296"/>
      <c r="CP50" s="296"/>
      <c r="CQ50" s="296"/>
      <c r="CR50" s="296"/>
      <c r="CS50" s="296"/>
      <c r="CT50" s="296"/>
      <c r="CU50" s="296"/>
      <c r="CV50" s="296"/>
      <c r="CW50" s="296"/>
      <c r="CX50" s="296"/>
      <c r="CY50" s="296"/>
      <c r="CZ50" s="296"/>
      <c r="DA50" s="296"/>
      <c r="DB50" s="296"/>
      <c r="DC50" s="296"/>
      <c r="DD50" s="296"/>
      <c r="DE50" s="296"/>
      <c r="DF50" s="296"/>
      <c r="DG50" s="296"/>
      <c r="DH50" s="296"/>
      <c r="DI50" s="296"/>
      <c r="DJ50" s="296"/>
      <c r="DK50" s="296"/>
      <c r="DL50" s="296"/>
      <c r="DM50" s="296"/>
      <c r="DN50" s="296"/>
      <c r="DO50" s="296"/>
      <c r="DP50" s="296"/>
      <c r="DQ50" s="296"/>
      <c r="DR50" s="296"/>
      <c r="DS50" s="296"/>
      <c r="DT50" s="296"/>
      <c r="DU50" s="296"/>
      <c r="DV50" s="296"/>
      <c r="DW50" s="296"/>
      <c r="DX50" s="296"/>
      <c r="DY50" s="296"/>
      <c r="DZ50" s="296"/>
      <c r="EA50" s="296"/>
      <c r="EB50" s="296"/>
      <c r="EC50" s="296"/>
      <c r="ED50" s="296"/>
      <c r="EE50" s="296"/>
      <c r="EF50" s="296"/>
      <c r="EG50" s="296"/>
      <c r="EH50" s="296"/>
      <c r="EI50" s="296"/>
      <c r="EJ50" s="296"/>
      <c r="EK50" s="296"/>
      <c r="EL50" s="296"/>
      <c r="EM50" s="296"/>
      <c r="EN50" s="296"/>
      <c r="EO50" s="296"/>
      <c r="EP50" s="296"/>
      <c r="EQ50" s="296"/>
      <c r="ER50" s="296"/>
      <c r="ES50" s="296"/>
      <c r="ET50" s="296"/>
      <c r="EU50" s="296"/>
      <c r="EV50" s="296"/>
      <c r="EW50" s="296"/>
      <c r="EX50" s="296"/>
      <c r="EY50" s="296"/>
      <c r="EZ50" s="296"/>
      <c r="FA50" s="296"/>
      <c r="FB50" s="296"/>
      <c r="FC50" s="296"/>
      <c r="FD50" s="296"/>
      <c r="FE50" s="296"/>
      <c r="FF50" s="296"/>
      <c r="FG50" s="296"/>
      <c r="FH50" s="296"/>
      <c r="FI50" s="296"/>
      <c r="FJ50" s="296"/>
      <c r="FK50" s="296"/>
      <c r="FL50" s="296"/>
      <c r="FM50" s="296"/>
      <c r="FN50" s="296"/>
      <c r="FO50" s="296"/>
      <c r="FP50" s="296"/>
      <c r="FQ50" s="296"/>
      <c r="FR50" s="296"/>
      <c r="FS50" s="296"/>
      <c r="FT50" s="296"/>
      <c r="FU50" s="296"/>
      <c r="FV50" s="296"/>
      <c r="FW50" s="296"/>
      <c r="FX50" s="296"/>
      <c r="FY50" s="296"/>
      <c r="FZ50" s="296"/>
      <c r="GA50" s="296"/>
      <c r="GB50" s="296"/>
      <c r="GC50" s="296"/>
      <c r="GD50" s="296"/>
      <c r="GE50" s="296"/>
      <c r="GF50" s="296"/>
      <c r="GG50" s="296"/>
      <c r="GH50" s="296"/>
      <c r="GI50" s="296"/>
      <c r="GJ50" s="296"/>
      <c r="GK50" s="296"/>
      <c r="GL50" s="296"/>
      <c r="GM50" s="296"/>
      <c r="GN50" s="296"/>
      <c r="GO50" s="296"/>
      <c r="GP50" s="296"/>
      <c r="GQ50" s="296"/>
      <c r="GR50" s="296"/>
      <c r="GS50" s="296"/>
      <c r="GT50" s="296"/>
      <c r="GU50" s="296"/>
      <c r="GV50" s="296"/>
      <c r="GW50" s="296"/>
      <c r="GX50" s="296"/>
      <c r="GY50" s="296"/>
      <c r="GZ50" s="296"/>
      <c r="HA50" s="296"/>
      <c r="HB50" s="296"/>
      <c r="HC50" s="296"/>
      <c r="HD50" s="296"/>
      <c r="HE50" s="296"/>
      <c r="HF50" s="296"/>
      <c r="HG50" s="296"/>
      <c r="HH50" s="296"/>
      <c r="HI50" s="296"/>
      <c r="HJ50" s="296"/>
      <c r="HK50" s="296"/>
      <c r="HL50" s="296"/>
      <c r="HM50" s="296"/>
      <c r="HN50" s="296"/>
      <c r="HO50" s="296"/>
      <c r="HP50" s="296"/>
      <c r="HQ50" s="296"/>
      <c r="HR50" s="296"/>
      <c r="HS50" s="296"/>
      <c r="HT50" s="296"/>
      <c r="HU50" s="296"/>
      <c r="HV50" s="296"/>
      <c r="HW50" s="296"/>
      <c r="HX50" s="296"/>
      <c r="HY50" s="296"/>
      <c r="HZ50" s="296"/>
      <c r="IA50" s="296"/>
      <c r="IB50" s="296"/>
      <c r="IC50" s="296"/>
      <c r="ID50" s="296"/>
      <c r="IE50" s="296"/>
      <c r="IF50" s="296"/>
      <c r="IG50" s="296"/>
      <c r="IH50" s="296"/>
      <c r="II50" s="296"/>
      <c r="IJ50" s="296"/>
      <c r="IK50" s="296"/>
      <c r="IL50" s="296"/>
      <c r="IM50" s="296"/>
      <c r="IN50" s="296"/>
      <c r="IO50" s="296"/>
      <c r="IP50" s="296"/>
      <c r="IQ50" s="296"/>
      <c r="IR50" s="296"/>
      <c r="IS50" s="296"/>
      <c r="IT50" s="296"/>
      <c r="IU50" s="296"/>
      <c r="IV50" s="296"/>
      <c r="IW50" s="296"/>
      <c r="IX50" s="296"/>
      <c r="IY50" s="296"/>
      <c r="IZ50" s="296"/>
      <c r="JA50" s="296"/>
      <c r="JB50" s="296"/>
      <c r="JC50" s="296"/>
      <c r="JD50" s="296"/>
      <c r="JE50" s="296"/>
      <c r="JF50" s="296"/>
      <c r="JG50" s="296"/>
      <c r="JH50" s="296"/>
      <c r="JI50" s="296"/>
      <c r="JJ50" s="296"/>
      <c r="JK50" s="296"/>
      <c r="JL50" s="296"/>
      <c r="JM50" s="296"/>
      <c r="JN50" s="296"/>
      <c r="JO50" s="296"/>
      <c r="JP50" s="296"/>
      <c r="JQ50" s="296"/>
      <c r="JR50" s="296"/>
      <c r="JS50" s="296"/>
      <c r="JT50" s="296"/>
      <c r="JU50" s="296"/>
      <c r="JV50" s="296"/>
      <c r="JW50" s="296"/>
      <c r="JX50" s="296"/>
      <c r="JY50" s="296"/>
      <c r="JZ50" s="296"/>
      <c r="KA50" s="296"/>
      <c r="KB50" s="296"/>
      <c r="KC50" s="296"/>
      <c r="KD50" s="296"/>
      <c r="KE50" s="296"/>
      <c r="KF50" s="296"/>
      <c r="KG50" s="296"/>
      <c r="KH50" s="296"/>
      <c r="KI50" s="296"/>
      <c r="KJ50" s="296"/>
      <c r="KK50" s="296"/>
      <c r="KL50" s="296"/>
      <c r="KM50" s="296"/>
      <c r="KN50" s="296"/>
      <c r="KO50" s="296"/>
      <c r="KP50" s="296"/>
      <c r="KQ50" s="296"/>
      <c r="KR50" s="296"/>
      <c r="KS50" s="296"/>
      <c r="KT50" s="296"/>
      <c r="KU50" s="296"/>
      <c r="KV50" s="296"/>
      <c r="KW50" s="296"/>
      <c r="KX50" s="296"/>
      <c r="KY50" s="296"/>
      <c r="KZ50" s="296"/>
      <c r="LA50" s="296"/>
      <c r="LB50" s="296"/>
      <c r="LC50" s="296"/>
      <c r="LD50" s="296"/>
      <c r="LE50" s="296"/>
      <c r="LF50" s="296"/>
      <c r="LG50" s="296"/>
      <c r="LH50" s="296"/>
      <c r="LI50" s="296"/>
      <c r="LJ50" s="296"/>
      <c r="LK50" s="296"/>
      <c r="LL50" s="296"/>
      <c r="LM50" s="296"/>
      <c r="LN50" s="296"/>
      <c r="LO50" s="296"/>
      <c r="LP50" s="296"/>
      <c r="LQ50" s="296"/>
      <c r="LR50" s="296"/>
      <c r="LS50" s="296"/>
      <c r="LT50" s="296"/>
      <c r="LU50" s="296"/>
      <c r="LV50" s="296"/>
      <c r="LW50" s="296"/>
      <c r="LX50" s="296"/>
      <c r="LY50" s="296"/>
      <c r="LZ50" s="296"/>
      <c r="MA50" s="296"/>
      <c r="MB50" s="296"/>
      <c r="MC50" s="296"/>
      <c r="MD50" s="296"/>
      <c r="ME50" s="296"/>
      <c r="MF50" s="296"/>
      <c r="MG50" s="296"/>
      <c r="MH50" s="296"/>
      <c r="MI50" s="296"/>
      <c r="MJ50" s="296"/>
      <c r="MK50" s="296"/>
      <c r="ML50" s="296"/>
      <c r="MM50" s="296"/>
      <c r="MN50" s="296"/>
      <c r="MO50" s="296"/>
      <c r="MP50" s="296"/>
      <c r="MQ50" s="296"/>
      <c r="MR50" s="296"/>
      <c r="MS50" s="296"/>
      <c r="MT50" s="296"/>
      <c r="MU50" s="296"/>
      <c r="MV50" s="296"/>
      <c r="MW50" s="296"/>
      <c r="MX50" s="296"/>
      <c r="MY50" s="296"/>
      <c r="MZ50" s="296"/>
      <c r="NA50" s="296"/>
      <c r="NB50" s="296"/>
      <c r="NC50" s="296"/>
      <c r="ND50" s="296"/>
      <c r="NE50" s="296"/>
      <c r="NF50" s="296"/>
      <c r="NG50" s="296"/>
      <c r="NH50" s="296"/>
      <c r="NI50" s="296"/>
      <c r="NJ50" s="296"/>
      <c r="NK50" s="296"/>
      <c r="NL50" s="296"/>
      <c r="NM50" s="296"/>
      <c r="NN50" s="296"/>
      <c r="NO50" s="296"/>
      <c r="NP50" s="296"/>
      <c r="NQ50" s="296"/>
      <c r="NR50" s="296"/>
      <c r="NS50" s="296"/>
      <c r="NT50" s="296"/>
      <c r="NU50" s="296"/>
      <c r="NV50" s="296"/>
      <c r="NW50" s="296"/>
      <c r="NX50" s="296"/>
      <c r="NY50" s="296"/>
      <c r="NZ50" s="296"/>
      <c r="OA50" s="296"/>
      <c r="OB50" s="296"/>
      <c r="OC50" s="296"/>
      <c r="OD50" s="296"/>
      <c r="OE50" s="296"/>
      <c r="OF50" s="296"/>
      <c r="OG50" s="296"/>
      <c r="OH50" s="296"/>
      <c r="OI50" s="296"/>
      <c r="OJ50" s="296"/>
      <c r="OK50" s="296"/>
      <c r="OL50" s="296"/>
      <c r="OM50" s="296"/>
      <c r="ON50" s="296"/>
      <c r="OO50" s="296"/>
      <c r="OP50" s="296"/>
      <c r="OQ50" s="296"/>
      <c r="OR50" s="296"/>
      <c r="OS50" s="296"/>
      <c r="OT50" s="296"/>
      <c r="OU50" s="296"/>
      <c r="OV50" s="296"/>
      <c r="OW50" s="296"/>
      <c r="OX50" s="296"/>
      <c r="OY50" s="296"/>
      <c r="OZ50" s="296"/>
      <c r="PA50" s="296"/>
      <c r="PB50" s="296"/>
      <c r="PC50" s="296"/>
      <c r="PD50" s="296"/>
      <c r="PE50" s="296"/>
      <c r="PF50" s="296"/>
      <c r="PG50" s="296"/>
      <c r="PH50" s="296"/>
      <c r="PI50" s="296"/>
      <c r="PJ50" s="296"/>
      <c r="PK50" s="296"/>
      <c r="PL50" s="296"/>
      <c r="PM50" s="296"/>
      <c r="PN50" s="296"/>
      <c r="PO50" s="296"/>
      <c r="PP50" s="296"/>
      <c r="PQ50" s="296"/>
      <c r="PR50" s="296"/>
      <c r="PS50" s="296"/>
      <c r="PT50" s="296"/>
      <c r="PU50" s="296"/>
      <c r="PV50" s="296"/>
      <c r="PW50" s="296"/>
      <c r="PX50" s="296"/>
      <c r="PY50" s="296"/>
      <c r="PZ50" s="296"/>
      <c r="QA50" s="296"/>
      <c r="QB50" s="296"/>
      <c r="QC50" s="296"/>
      <c r="QD50" s="296"/>
      <c r="QE50" s="296"/>
      <c r="QF50" s="296"/>
      <c r="QG50" s="296"/>
      <c r="QH50" s="296"/>
      <c r="QI50" s="296"/>
      <c r="QJ50" s="296"/>
      <c r="QK50" s="296"/>
      <c r="QL50" s="296"/>
      <c r="QM50" s="296"/>
      <c r="QN50" s="296"/>
      <c r="QO50" s="296"/>
      <c r="QP50" s="296"/>
      <c r="QQ50" s="296"/>
      <c r="QR50" s="296"/>
      <c r="QS50" s="296"/>
      <c r="QT50" s="296"/>
      <c r="QU50" s="296"/>
      <c r="QV50" s="296"/>
      <c r="QW50" s="296"/>
      <c r="QX50" s="296"/>
      <c r="QY50" s="296"/>
      <c r="QZ50" s="296"/>
      <c r="RA50" s="296"/>
      <c r="RB50" s="296"/>
      <c r="RC50" s="296"/>
      <c r="RD50" s="296"/>
      <c r="RE50" s="296"/>
      <c r="RF50" s="296"/>
      <c r="RG50" s="296"/>
      <c r="RH50" s="296"/>
      <c r="RI50" s="296"/>
      <c r="RJ50" s="296"/>
      <c r="RK50" s="296"/>
      <c r="RL50" s="296"/>
      <c r="RM50" s="296"/>
      <c r="RN50" s="296"/>
      <c r="RO50" s="296"/>
      <c r="RP50" s="296"/>
      <c r="RQ50" s="296"/>
      <c r="RR50" s="296"/>
      <c r="RS50" s="296"/>
      <c r="RT50" s="296"/>
      <c r="RU50" s="296"/>
      <c r="RV50" s="296"/>
      <c r="RW50" s="296"/>
      <c r="RX50" s="296"/>
      <c r="RY50" s="296"/>
      <c r="RZ50" s="296"/>
      <c r="SA50" s="296"/>
      <c r="SB50" s="296"/>
      <c r="SC50" s="296"/>
      <c r="SD50" s="296"/>
      <c r="SE50" s="296"/>
      <c r="SF50" s="296"/>
      <c r="SG50" s="296"/>
      <c r="SH50" s="296"/>
      <c r="SI50" s="296"/>
      <c r="SJ50" s="296"/>
      <c r="SK50" s="296"/>
      <c r="SL50" s="296"/>
      <c r="SM50" s="296"/>
      <c r="SN50" s="296"/>
      <c r="SO50" s="296"/>
      <c r="SP50" s="296"/>
      <c r="SQ50" s="296"/>
      <c r="SR50" s="296"/>
      <c r="SS50" s="296"/>
      <c r="ST50" s="296"/>
      <c r="SU50" s="296"/>
      <c r="SV50" s="296"/>
      <c r="SW50" s="296"/>
      <c r="SX50" s="296"/>
      <c r="SY50" s="296"/>
      <c r="SZ50" s="296"/>
      <c r="TA50" s="296"/>
      <c r="TB50" s="296"/>
      <c r="TC50" s="296"/>
      <c r="TD50" s="296"/>
      <c r="TE50" s="296"/>
      <c r="TF50" s="296"/>
      <c r="TG50" s="296"/>
      <c r="TH50" s="296"/>
      <c r="TI50" s="296"/>
      <c r="TJ50" s="296"/>
      <c r="TK50" s="296"/>
      <c r="TL50" s="296"/>
      <c r="TM50" s="296"/>
      <c r="TN50" s="296"/>
      <c r="TO50" s="296"/>
      <c r="TP50" s="296"/>
      <c r="TQ50" s="296"/>
      <c r="TR50" s="296"/>
      <c r="TS50" s="296"/>
      <c r="TT50" s="296"/>
      <c r="TU50" s="296"/>
      <c r="TV50" s="296"/>
      <c r="TW50" s="296"/>
      <c r="TX50" s="296"/>
      <c r="TY50" s="296"/>
      <c r="TZ50" s="296"/>
      <c r="UA50" s="296"/>
      <c r="UB50" s="296"/>
      <c r="UC50" s="296"/>
      <c r="UD50" s="296"/>
      <c r="UE50" s="296"/>
      <c r="UF50" s="296"/>
      <c r="UG50" s="296"/>
      <c r="UH50" s="296"/>
      <c r="UI50" s="296"/>
      <c r="UJ50" s="296"/>
      <c r="UK50" s="296"/>
      <c r="UL50" s="296"/>
      <c r="UM50" s="296"/>
      <c r="UN50" s="296"/>
      <c r="UO50" s="296"/>
      <c r="UP50" s="296"/>
      <c r="UQ50" s="296"/>
      <c r="UR50" s="296"/>
      <c r="US50" s="296"/>
      <c r="UT50" s="296"/>
      <c r="UU50" s="296"/>
      <c r="UV50" s="296"/>
      <c r="UW50" s="296"/>
      <c r="UX50" s="296"/>
      <c r="UY50" s="296"/>
      <c r="UZ50" s="296"/>
      <c r="VA50" s="296"/>
      <c r="VB50" s="296"/>
      <c r="VC50" s="296"/>
      <c r="VD50" s="296"/>
      <c r="VE50" s="296"/>
      <c r="VF50" s="296"/>
      <c r="VG50" s="296"/>
      <c r="VH50" s="296"/>
      <c r="VI50" s="296"/>
      <c r="VJ50" s="296"/>
      <c r="VK50" s="296"/>
      <c r="VL50" s="296"/>
      <c r="VM50" s="296"/>
      <c r="VN50" s="296"/>
      <c r="VO50" s="296"/>
      <c r="VP50" s="296"/>
      <c r="VQ50" s="296"/>
      <c r="VR50" s="296"/>
      <c r="VS50" s="296"/>
      <c r="VT50" s="296"/>
      <c r="VU50" s="296"/>
      <c r="VV50" s="296"/>
      <c r="VW50" s="296"/>
      <c r="VX50" s="296"/>
      <c r="VY50" s="296"/>
      <c r="VZ50" s="296"/>
      <c r="WA50" s="296"/>
      <c r="WB50" s="296"/>
      <c r="WC50" s="296"/>
      <c r="WD50" s="296"/>
      <c r="WE50" s="296"/>
      <c r="WF50" s="296"/>
      <c r="WG50" s="296"/>
      <c r="WH50" s="296"/>
      <c r="WI50" s="296"/>
      <c r="WJ50" s="296"/>
      <c r="WK50" s="296"/>
      <c r="WL50" s="296"/>
      <c r="WM50" s="296"/>
      <c r="WN50" s="296"/>
      <c r="WO50" s="296"/>
      <c r="WP50" s="296"/>
      <c r="WQ50" s="296"/>
      <c r="WR50" s="296"/>
      <c r="WS50" s="296"/>
      <c r="WT50" s="296"/>
      <c r="WU50" s="296"/>
      <c r="WV50" s="296"/>
      <c r="WW50" s="296"/>
      <c r="WX50" s="296"/>
      <c r="WY50" s="296"/>
      <c r="WZ50" s="296"/>
      <c r="XA50" s="296"/>
      <c r="XB50" s="296"/>
      <c r="XC50" s="296"/>
      <c r="XD50" s="296"/>
      <c r="XE50" s="296"/>
      <c r="XF50" s="296"/>
      <c r="XG50" s="296"/>
      <c r="XH50" s="296"/>
      <c r="XI50" s="296"/>
      <c r="XJ50" s="296"/>
      <c r="XK50" s="296"/>
      <c r="XL50" s="296"/>
      <c r="XM50" s="296"/>
      <c r="XN50" s="296"/>
      <c r="XO50" s="296"/>
      <c r="XP50" s="296"/>
      <c r="XQ50" s="296"/>
      <c r="XR50" s="296"/>
      <c r="XS50" s="296"/>
      <c r="XT50" s="296"/>
      <c r="XU50" s="296"/>
      <c r="XV50" s="296"/>
      <c r="XW50" s="296"/>
      <c r="XX50" s="296"/>
      <c r="XY50" s="296"/>
      <c r="XZ50" s="296"/>
      <c r="YA50" s="296"/>
      <c r="YB50" s="296"/>
      <c r="YC50" s="296"/>
      <c r="YD50" s="296"/>
      <c r="YE50" s="296"/>
      <c r="YF50" s="296"/>
      <c r="YG50" s="296"/>
      <c r="YH50" s="296"/>
      <c r="YI50" s="296"/>
      <c r="YJ50" s="296"/>
      <c r="YK50" s="296"/>
      <c r="YL50" s="296"/>
      <c r="YM50" s="296"/>
      <c r="YN50" s="296"/>
      <c r="YO50" s="296"/>
      <c r="YP50" s="296"/>
      <c r="YQ50" s="296"/>
      <c r="YR50" s="296"/>
      <c r="YS50" s="296"/>
      <c r="YT50" s="296"/>
      <c r="YU50" s="296"/>
      <c r="YV50" s="296"/>
      <c r="YW50" s="296"/>
      <c r="YX50" s="296"/>
      <c r="YY50" s="296"/>
      <c r="YZ50" s="296"/>
      <c r="ZA50" s="296"/>
      <c r="ZB50" s="296"/>
      <c r="ZC50" s="296"/>
      <c r="ZD50" s="296"/>
      <c r="ZE50" s="296"/>
      <c r="ZF50" s="296"/>
      <c r="ZG50" s="296"/>
      <c r="ZH50" s="296"/>
      <c r="ZI50" s="296"/>
      <c r="ZJ50" s="296"/>
      <c r="ZK50" s="296"/>
      <c r="ZL50" s="296"/>
      <c r="ZM50" s="296"/>
      <c r="ZN50" s="296"/>
      <c r="ZO50" s="296"/>
      <c r="ZP50" s="296"/>
      <c r="ZQ50" s="296"/>
      <c r="ZR50" s="296"/>
      <c r="ZS50" s="296"/>
      <c r="ZT50" s="296"/>
      <c r="ZU50" s="296"/>
      <c r="ZV50" s="296"/>
      <c r="ZW50" s="296"/>
      <c r="ZX50" s="296"/>
      <c r="ZY50" s="296"/>
      <c r="ZZ50" s="296"/>
      <c r="AAA50" s="296"/>
      <c r="AAB50" s="296"/>
      <c r="AAC50" s="296"/>
      <c r="AAD50" s="296"/>
      <c r="AAE50" s="296"/>
      <c r="AAF50" s="296"/>
      <c r="AAG50" s="296"/>
      <c r="AAH50" s="296"/>
      <c r="AAI50" s="296"/>
      <c r="AAJ50" s="296"/>
      <c r="AAK50" s="296"/>
      <c r="AAL50" s="296"/>
      <c r="AAM50" s="296"/>
      <c r="AAN50" s="296"/>
      <c r="AAO50" s="296"/>
      <c r="AAP50" s="296"/>
      <c r="AAQ50" s="296"/>
      <c r="AAR50" s="296"/>
      <c r="AAS50" s="296"/>
      <c r="AAT50" s="296"/>
      <c r="AAU50" s="296"/>
      <c r="AAV50" s="296"/>
      <c r="AAW50" s="296"/>
      <c r="AAX50" s="296"/>
      <c r="AAY50" s="296"/>
      <c r="AAZ50" s="296"/>
      <c r="ABA50" s="296"/>
      <c r="ABB50" s="296"/>
      <c r="ABC50" s="296"/>
      <c r="ABD50" s="296"/>
      <c r="ABE50" s="296"/>
      <c r="ABF50" s="296"/>
      <c r="ABG50" s="296"/>
      <c r="ABH50" s="296"/>
      <c r="ABI50" s="296"/>
      <c r="ABJ50" s="296"/>
      <c r="ABK50" s="296"/>
      <c r="ABL50" s="296"/>
      <c r="ABM50" s="296"/>
      <c r="ABN50" s="296"/>
      <c r="ABO50" s="296"/>
      <c r="ABP50" s="296"/>
      <c r="ABQ50" s="296"/>
      <c r="ABR50" s="296"/>
      <c r="ABS50" s="296"/>
      <c r="ABT50" s="296"/>
      <c r="ABU50" s="296"/>
      <c r="ABV50" s="296"/>
      <c r="ABW50" s="296"/>
      <c r="ABX50" s="296"/>
      <c r="ABY50" s="296"/>
      <c r="ABZ50" s="296"/>
      <c r="ACA50" s="296"/>
      <c r="ACB50" s="296"/>
      <c r="ACC50" s="296"/>
      <c r="ACD50" s="296"/>
      <c r="ACE50" s="296"/>
      <c r="ACF50" s="296"/>
      <c r="ACG50" s="296"/>
      <c r="ACH50" s="296"/>
      <c r="ACI50" s="296"/>
      <c r="ACJ50" s="296"/>
      <c r="ACK50" s="296"/>
      <c r="ACL50" s="296"/>
      <c r="ACM50" s="296"/>
      <c r="ACN50" s="296"/>
      <c r="ACO50" s="296"/>
      <c r="ACP50" s="296"/>
      <c r="ACQ50" s="296"/>
      <c r="ACR50" s="296"/>
      <c r="ACS50" s="296"/>
      <c r="ACT50" s="296"/>
      <c r="ACU50" s="296"/>
      <c r="ACV50" s="296"/>
      <c r="ACW50" s="296"/>
      <c r="ACX50" s="296"/>
      <c r="ACY50" s="296"/>
      <c r="ACZ50" s="296"/>
      <c r="ADA50" s="296"/>
      <c r="ADB50" s="296"/>
      <c r="ADC50" s="296"/>
      <c r="ADD50" s="296"/>
      <c r="ADE50" s="296"/>
      <c r="ADF50" s="296"/>
      <c r="ADG50" s="296"/>
      <c r="ADH50" s="296"/>
      <c r="ADI50" s="296"/>
      <c r="ADJ50" s="296"/>
      <c r="ADK50" s="296"/>
      <c r="ADL50" s="296"/>
      <c r="ADM50" s="296"/>
      <c r="ADN50" s="296"/>
      <c r="ADO50" s="296"/>
      <c r="ADP50" s="296"/>
      <c r="ADQ50" s="296"/>
      <c r="ADR50" s="296"/>
      <c r="ADS50" s="296"/>
      <c r="ADT50" s="296"/>
      <c r="ADU50" s="296"/>
      <c r="ADV50" s="296"/>
      <c r="ADW50" s="296"/>
      <c r="ADX50" s="296"/>
      <c r="ADY50" s="296"/>
      <c r="ADZ50" s="296"/>
      <c r="AEA50" s="296"/>
      <c r="AEB50" s="296"/>
      <c r="AEC50" s="296"/>
      <c r="AED50" s="296"/>
      <c r="AEE50" s="296"/>
      <c r="AEF50" s="296"/>
      <c r="AEG50" s="296"/>
      <c r="AEH50" s="296"/>
      <c r="AEI50" s="296"/>
      <c r="AEJ50" s="296"/>
      <c r="AEK50" s="296"/>
      <c r="AEL50" s="296"/>
      <c r="AEM50" s="296"/>
      <c r="AEN50" s="296"/>
      <c r="AEO50" s="296"/>
      <c r="AEP50" s="296"/>
      <c r="AEQ50" s="296"/>
      <c r="AER50" s="296"/>
      <c r="AES50" s="296"/>
      <c r="AET50" s="296"/>
      <c r="AEU50" s="296"/>
      <c r="AEV50" s="296"/>
      <c r="AEW50" s="296"/>
      <c r="AEX50" s="296"/>
      <c r="AEY50" s="296"/>
      <c r="AEZ50" s="296"/>
      <c r="AFA50" s="296"/>
      <c r="AFB50" s="296"/>
      <c r="AFC50" s="296"/>
      <c r="AFD50" s="296"/>
      <c r="AFE50" s="296"/>
      <c r="AFF50" s="296"/>
      <c r="AFG50" s="296"/>
      <c r="AFH50" s="296"/>
      <c r="AFI50" s="296"/>
      <c r="AFJ50" s="296"/>
      <c r="AFK50" s="296"/>
      <c r="AFL50" s="296"/>
      <c r="AFM50" s="296"/>
      <c r="AFN50" s="296"/>
      <c r="AFO50" s="296"/>
      <c r="AFP50" s="296"/>
      <c r="AFQ50" s="296"/>
      <c r="AFR50" s="296"/>
      <c r="AFS50" s="296"/>
      <c r="AFT50" s="296"/>
      <c r="AFU50" s="296"/>
      <c r="AFV50" s="296"/>
      <c r="AFW50" s="296"/>
      <c r="AFX50" s="296"/>
      <c r="AFY50" s="296"/>
      <c r="AFZ50" s="296"/>
      <c r="AGA50" s="296"/>
      <c r="AGB50" s="296"/>
      <c r="AGC50" s="296"/>
      <c r="AGD50" s="296"/>
      <c r="AGE50" s="296"/>
      <c r="AGF50" s="296"/>
      <c r="AGG50" s="296"/>
      <c r="AGH50" s="296"/>
      <c r="AGI50" s="296"/>
      <c r="AGJ50" s="296"/>
      <c r="AGK50" s="296"/>
      <c r="AGL50" s="296"/>
      <c r="AGM50" s="296"/>
      <c r="AGN50" s="296"/>
      <c r="AGO50" s="296"/>
      <c r="AGP50" s="296"/>
      <c r="AGQ50" s="296"/>
      <c r="AGR50" s="296"/>
      <c r="AGS50" s="296"/>
      <c r="AGT50" s="296"/>
      <c r="AGU50" s="296"/>
      <c r="AGV50" s="296"/>
      <c r="AGW50" s="296"/>
      <c r="AGX50" s="296"/>
      <c r="AGY50" s="296"/>
      <c r="AGZ50" s="296"/>
      <c r="AHA50" s="296"/>
      <c r="AHB50" s="296"/>
      <c r="AHC50" s="296"/>
      <c r="AHD50" s="296"/>
      <c r="AHE50" s="296"/>
      <c r="AHF50" s="296"/>
      <c r="AHG50" s="296"/>
      <c r="AHH50" s="296"/>
      <c r="AHI50" s="296"/>
      <c r="AHJ50" s="296"/>
      <c r="AHK50" s="296"/>
      <c r="AHL50" s="296"/>
      <c r="AHM50" s="296"/>
      <c r="AHN50" s="296"/>
      <c r="AHO50" s="296"/>
      <c r="AHP50" s="296"/>
      <c r="AHQ50" s="296"/>
      <c r="AHR50" s="296"/>
      <c r="AHS50" s="296"/>
      <c r="AHT50" s="296"/>
      <c r="AHU50" s="296"/>
      <c r="AHV50" s="296"/>
      <c r="AHW50" s="296"/>
      <c r="AHX50" s="296"/>
      <c r="AHY50" s="296"/>
      <c r="AHZ50" s="296"/>
      <c r="AIA50" s="296"/>
      <c r="AIB50" s="296"/>
      <c r="AIC50" s="296"/>
      <c r="AID50" s="296"/>
      <c r="AIE50" s="296"/>
      <c r="AIF50" s="296"/>
      <c r="AIG50" s="296"/>
      <c r="AIH50" s="296"/>
      <c r="AII50" s="296"/>
      <c r="AIJ50" s="296"/>
      <c r="AIK50" s="296"/>
      <c r="AIL50" s="296"/>
      <c r="AIM50" s="296"/>
      <c r="AIN50" s="296"/>
      <c r="AIO50" s="296"/>
      <c r="AIP50" s="296"/>
      <c r="AIQ50" s="296"/>
      <c r="AIR50" s="296"/>
      <c r="AIS50" s="296"/>
      <c r="AIT50" s="296"/>
      <c r="AIU50" s="296"/>
      <c r="AIV50" s="296"/>
      <c r="AIW50" s="296"/>
      <c r="AIX50" s="296"/>
      <c r="AIY50" s="296"/>
      <c r="AIZ50" s="296"/>
      <c r="AJA50" s="296"/>
      <c r="AJB50" s="296"/>
      <c r="AJC50" s="296"/>
      <c r="AJD50" s="296"/>
      <c r="AJE50" s="296"/>
      <c r="AJF50" s="296"/>
      <c r="AJG50" s="296"/>
      <c r="AJH50" s="296"/>
      <c r="AJI50" s="296"/>
      <c r="AJJ50" s="296"/>
      <c r="AJK50" s="296"/>
      <c r="AJL50" s="296"/>
      <c r="AJM50" s="296"/>
      <c r="AJN50" s="296"/>
      <c r="AJO50" s="296"/>
      <c r="AJP50" s="296"/>
      <c r="AJQ50" s="296"/>
      <c r="AJR50" s="296"/>
      <c r="AJS50" s="296"/>
      <c r="AJT50" s="296"/>
      <c r="AJU50" s="296"/>
      <c r="AJV50" s="296"/>
      <c r="AJW50" s="296"/>
      <c r="AJX50" s="296"/>
      <c r="AJY50" s="296"/>
      <c r="AJZ50" s="296"/>
      <c r="AKA50" s="296"/>
      <c r="AKB50" s="296"/>
      <c r="AKC50" s="296"/>
      <c r="AKD50" s="296"/>
      <c r="AKE50" s="296"/>
      <c r="AKF50" s="296"/>
      <c r="AKG50" s="296"/>
      <c r="AKH50" s="296"/>
      <c r="AKI50" s="296"/>
      <c r="AKJ50" s="296"/>
      <c r="AKK50" s="296"/>
      <c r="AKL50" s="296"/>
      <c r="AKM50" s="296"/>
      <c r="AKN50" s="296"/>
      <c r="AKO50" s="296"/>
      <c r="AKP50" s="296"/>
      <c r="AKQ50" s="296"/>
      <c r="AKR50" s="296"/>
      <c r="AKS50" s="296"/>
      <c r="AKT50" s="296"/>
      <c r="AKU50" s="296"/>
      <c r="AKV50" s="296"/>
      <c r="AKW50" s="296"/>
      <c r="AKX50" s="296"/>
      <c r="AKY50" s="296"/>
      <c r="AKZ50" s="296"/>
      <c r="ALA50" s="296"/>
      <c r="ALB50" s="296"/>
      <c r="ALC50" s="296"/>
      <c r="ALD50" s="296"/>
      <c r="ALE50" s="296"/>
      <c r="ALF50" s="296"/>
      <c r="ALG50" s="296"/>
      <c r="ALH50" s="296"/>
      <c r="ALI50" s="296"/>
      <c r="ALJ50" s="296"/>
      <c r="ALK50" s="296"/>
      <c r="ALL50" s="296"/>
      <c r="ALM50" s="296"/>
      <c r="ALN50" s="296"/>
      <c r="ALO50" s="296"/>
      <c r="ALP50" s="296"/>
      <c r="ALQ50" s="296"/>
      <c r="ALR50" s="296"/>
      <c r="ALS50" s="296"/>
      <c r="ALT50" s="296"/>
      <c r="ALU50" s="296"/>
      <c r="ALV50" s="296"/>
      <c r="ALW50" s="296"/>
      <c r="ALX50" s="296"/>
      <c r="ALY50" s="296"/>
      <c r="ALZ50" s="296"/>
      <c r="AMA50" s="296"/>
      <c r="AMB50" s="296"/>
      <c r="AMC50" s="296"/>
      <c r="AMD50" s="296"/>
      <c r="AME50" s="296"/>
      <c r="AMF50" s="296"/>
      <c r="AMG50" s="296"/>
      <c r="AMH50" s="296"/>
      <c r="AMI50" s="296"/>
      <c r="AMJ50" s="296"/>
    </row>
    <row r="51" customFormat="false" ht="12.8" hidden="false" customHeight="false" outlineLevel="0" collapsed="false">
      <c r="A51" s="324"/>
      <c r="B51" s="309" t="s">
        <v>191</v>
      </c>
      <c r="C51" s="309"/>
      <c r="D51" s="309" t="s">
        <v>192</v>
      </c>
      <c r="E51" s="309"/>
      <c r="F51" s="309" t="s">
        <v>32</v>
      </c>
      <c r="G51" s="309"/>
      <c r="H51" s="309" t="s">
        <v>193</v>
      </c>
      <c r="I51" s="309"/>
      <c r="J51" s="309" t="s">
        <v>194</v>
      </c>
      <c r="K51" s="301"/>
      <c r="L51" s="301"/>
      <c r="M51" s="301"/>
      <c r="N51" s="301"/>
      <c r="O51" s="301"/>
      <c r="P51" s="301"/>
      <c r="Q51" s="301"/>
      <c r="R51" s="301"/>
      <c r="S51" s="301"/>
      <c r="T51" s="301"/>
      <c r="U51" s="301"/>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301"/>
      <c r="BP51" s="301"/>
      <c r="BQ51" s="301"/>
      <c r="BR51" s="301"/>
      <c r="BS51" s="301"/>
      <c r="BT51" s="301"/>
      <c r="BU51" s="301"/>
      <c r="BV51" s="301"/>
      <c r="BW51" s="301"/>
      <c r="BX51" s="301"/>
      <c r="BY51" s="301"/>
      <c r="BZ51" s="301"/>
      <c r="CA51" s="301"/>
      <c r="CB51" s="301"/>
      <c r="CC51" s="301"/>
      <c r="CD51" s="301"/>
      <c r="CE51" s="301"/>
      <c r="CF51" s="301"/>
      <c r="CG51" s="301"/>
      <c r="CH51" s="301"/>
      <c r="CI51" s="301"/>
      <c r="CJ51" s="301"/>
      <c r="CK51" s="301"/>
      <c r="CL51" s="301"/>
      <c r="CM51" s="301"/>
      <c r="CN51" s="301"/>
      <c r="CO51" s="301"/>
      <c r="CP51" s="301"/>
      <c r="CQ51" s="301"/>
      <c r="CR51" s="301"/>
      <c r="CS51" s="301"/>
      <c r="CT51" s="301"/>
      <c r="CU51" s="301"/>
      <c r="CV51" s="301"/>
      <c r="CW51" s="301"/>
      <c r="CX51" s="301"/>
      <c r="CY51" s="301"/>
      <c r="CZ51" s="301"/>
      <c r="DA51" s="301"/>
      <c r="DB51" s="301"/>
      <c r="DC51" s="301"/>
      <c r="DD51" s="301"/>
      <c r="DE51" s="301"/>
      <c r="DF51" s="301"/>
      <c r="DG51" s="301"/>
      <c r="DH51" s="301"/>
      <c r="DI51" s="301"/>
      <c r="DJ51" s="301"/>
      <c r="DK51" s="301"/>
      <c r="DL51" s="301"/>
      <c r="DM51" s="301"/>
      <c r="DN51" s="301"/>
      <c r="DO51" s="301"/>
      <c r="DP51" s="301"/>
      <c r="DQ51" s="301"/>
      <c r="DR51" s="301"/>
      <c r="DS51" s="301"/>
      <c r="DT51" s="301"/>
      <c r="DU51" s="301"/>
      <c r="DV51" s="301"/>
      <c r="DW51" s="301"/>
      <c r="DX51" s="301"/>
      <c r="DY51" s="301"/>
      <c r="DZ51" s="301"/>
      <c r="EA51" s="301"/>
      <c r="EB51" s="301"/>
      <c r="EC51" s="301"/>
      <c r="ED51" s="301"/>
      <c r="EE51" s="301"/>
      <c r="EF51" s="301"/>
      <c r="EG51" s="301"/>
      <c r="EH51" s="301"/>
      <c r="EI51" s="301"/>
      <c r="EJ51" s="301"/>
      <c r="EK51" s="301"/>
      <c r="EL51" s="301"/>
      <c r="EM51" s="301"/>
      <c r="EN51" s="301"/>
      <c r="EO51" s="301"/>
      <c r="EP51" s="301"/>
      <c r="EQ51" s="301"/>
      <c r="ER51" s="301"/>
      <c r="ES51" s="301"/>
      <c r="ET51" s="301"/>
      <c r="EU51" s="301"/>
      <c r="EV51" s="301"/>
      <c r="EW51" s="301"/>
      <c r="EX51" s="301"/>
      <c r="EY51" s="301"/>
      <c r="EZ51" s="301"/>
      <c r="FA51" s="301"/>
      <c r="FB51" s="301"/>
      <c r="FC51" s="301"/>
      <c r="FD51" s="301"/>
      <c r="FE51" s="301"/>
      <c r="FF51" s="301"/>
      <c r="FG51" s="301"/>
      <c r="FH51" s="301"/>
      <c r="FI51" s="301"/>
      <c r="FJ51" s="301"/>
      <c r="FK51" s="301"/>
      <c r="FL51" s="301"/>
      <c r="FM51" s="301"/>
      <c r="FN51" s="301"/>
      <c r="FO51" s="301"/>
      <c r="FP51" s="301"/>
      <c r="FQ51" s="301"/>
      <c r="FR51" s="301"/>
      <c r="FS51" s="301"/>
      <c r="FT51" s="301"/>
      <c r="FU51" s="301"/>
      <c r="FV51" s="301"/>
      <c r="FW51" s="301"/>
      <c r="FX51" s="301"/>
      <c r="FY51" s="301"/>
      <c r="FZ51" s="301"/>
      <c r="GA51" s="301"/>
      <c r="GB51" s="301"/>
      <c r="GC51" s="301"/>
      <c r="GD51" s="301"/>
      <c r="GE51" s="301"/>
      <c r="GF51" s="301"/>
      <c r="GG51" s="301"/>
      <c r="GH51" s="301"/>
      <c r="GI51" s="301"/>
      <c r="GJ51" s="301"/>
      <c r="GK51" s="301"/>
      <c r="GL51" s="301"/>
      <c r="GM51" s="301"/>
      <c r="GN51" s="301"/>
      <c r="GO51" s="301"/>
      <c r="GP51" s="301"/>
      <c r="GQ51" s="301"/>
      <c r="GR51" s="301"/>
      <c r="GS51" s="301"/>
      <c r="GT51" s="301"/>
      <c r="GU51" s="301"/>
      <c r="GV51" s="301"/>
      <c r="GW51" s="301"/>
      <c r="GX51" s="301"/>
      <c r="GY51" s="301"/>
      <c r="GZ51" s="301"/>
      <c r="HA51" s="301"/>
      <c r="HB51" s="301"/>
      <c r="HC51" s="301"/>
      <c r="HD51" s="301"/>
      <c r="HE51" s="301"/>
      <c r="HF51" s="301"/>
      <c r="HG51" s="301"/>
      <c r="HH51" s="301"/>
      <c r="HI51" s="301"/>
      <c r="HJ51" s="301"/>
      <c r="HK51" s="301"/>
      <c r="HL51" s="301"/>
      <c r="HM51" s="301"/>
      <c r="HN51" s="301"/>
      <c r="HO51" s="301"/>
      <c r="HP51" s="301"/>
      <c r="HQ51" s="301"/>
      <c r="HR51" s="301"/>
      <c r="HS51" s="301"/>
      <c r="HT51" s="301"/>
      <c r="HU51" s="301"/>
      <c r="HV51" s="301"/>
      <c r="HW51" s="301"/>
      <c r="HX51" s="301"/>
      <c r="HY51" s="301"/>
      <c r="HZ51" s="301"/>
      <c r="IA51" s="301"/>
      <c r="IB51" s="301"/>
      <c r="IC51" s="301"/>
      <c r="ID51" s="301"/>
      <c r="IE51" s="301"/>
      <c r="IF51" s="301"/>
      <c r="IG51" s="301"/>
      <c r="IH51" s="301"/>
      <c r="II51" s="301"/>
      <c r="IJ51" s="301"/>
      <c r="IK51" s="301"/>
      <c r="IL51" s="301"/>
      <c r="IM51" s="301"/>
      <c r="IN51" s="301"/>
      <c r="IO51" s="301"/>
      <c r="IP51" s="301"/>
      <c r="IQ51" s="301"/>
      <c r="IR51" s="301"/>
      <c r="IS51" s="301"/>
      <c r="IT51" s="301"/>
      <c r="IU51" s="301"/>
      <c r="IV51" s="301"/>
      <c r="IW51" s="301"/>
      <c r="IX51" s="301"/>
      <c r="IY51" s="301"/>
      <c r="IZ51" s="301"/>
      <c r="JA51" s="301"/>
      <c r="JB51" s="301"/>
      <c r="JC51" s="301"/>
      <c r="JD51" s="301"/>
      <c r="JE51" s="301"/>
      <c r="JF51" s="301"/>
      <c r="JG51" s="301"/>
      <c r="JH51" s="301"/>
      <c r="JI51" s="301"/>
      <c r="JJ51" s="301"/>
      <c r="JK51" s="301"/>
      <c r="JL51" s="301"/>
      <c r="JM51" s="301"/>
      <c r="JN51" s="301"/>
      <c r="JO51" s="301"/>
      <c r="JP51" s="301"/>
      <c r="JQ51" s="301"/>
      <c r="JR51" s="301"/>
      <c r="JS51" s="301"/>
      <c r="JT51" s="301"/>
      <c r="JU51" s="301"/>
      <c r="JV51" s="301"/>
      <c r="JW51" s="301"/>
      <c r="JX51" s="301"/>
      <c r="JY51" s="301"/>
      <c r="JZ51" s="301"/>
      <c r="KA51" s="301"/>
      <c r="KB51" s="301"/>
      <c r="KC51" s="301"/>
      <c r="KD51" s="301"/>
      <c r="KE51" s="301"/>
      <c r="KF51" s="301"/>
      <c r="KG51" s="301"/>
      <c r="KH51" s="301"/>
      <c r="KI51" s="301"/>
      <c r="KJ51" s="301"/>
      <c r="KK51" s="301"/>
      <c r="KL51" s="301"/>
      <c r="KM51" s="301"/>
      <c r="KN51" s="301"/>
      <c r="KO51" s="301"/>
      <c r="KP51" s="301"/>
      <c r="KQ51" s="301"/>
      <c r="KR51" s="301"/>
      <c r="KS51" s="301"/>
      <c r="KT51" s="301"/>
      <c r="KU51" s="301"/>
      <c r="KV51" s="301"/>
      <c r="KW51" s="301"/>
      <c r="KX51" s="301"/>
      <c r="KY51" s="301"/>
      <c r="KZ51" s="301"/>
      <c r="LA51" s="301"/>
      <c r="LB51" s="301"/>
      <c r="LC51" s="301"/>
      <c r="LD51" s="301"/>
      <c r="LE51" s="301"/>
      <c r="LF51" s="301"/>
      <c r="LG51" s="301"/>
      <c r="LH51" s="301"/>
      <c r="LI51" s="301"/>
      <c r="LJ51" s="301"/>
      <c r="LK51" s="301"/>
      <c r="LL51" s="301"/>
      <c r="LM51" s="301"/>
      <c r="LN51" s="301"/>
      <c r="LO51" s="301"/>
      <c r="LP51" s="301"/>
      <c r="LQ51" s="301"/>
      <c r="LR51" s="301"/>
      <c r="LS51" s="301"/>
      <c r="LT51" s="301"/>
      <c r="LU51" s="301"/>
      <c r="LV51" s="301"/>
      <c r="LW51" s="301"/>
      <c r="LX51" s="301"/>
      <c r="LY51" s="301"/>
      <c r="LZ51" s="301"/>
      <c r="MA51" s="301"/>
      <c r="MB51" s="301"/>
      <c r="MC51" s="301"/>
      <c r="MD51" s="301"/>
      <c r="ME51" s="301"/>
      <c r="MF51" s="301"/>
      <c r="MG51" s="301"/>
      <c r="MH51" s="301"/>
      <c r="MI51" s="301"/>
      <c r="MJ51" s="301"/>
      <c r="MK51" s="301"/>
      <c r="ML51" s="301"/>
      <c r="MM51" s="301"/>
      <c r="MN51" s="301"/>
      <c r="MO51" s="301"/>
      <c r="MP51" s="301"/>
      <c r="MQ51" s="301"/>
      <c r="MR51" s="301"/>
      <c r="MS51" s="301"/>
      <c r="MT51" s="301"/>
      <c r="MU51" s="301"/>
      <c r="MV51" s="301"/>
      <c r="MW51" s="301"/>
      <c r="MX51" s="301"/>
      <c r="MY51" s="301"/>
      <c r="MZ51" s="301"/>
      <c r="NA51" s="301"/>
      <c r="NB51" s="301"/>
      <c r="NC51" s="301"/>
      <c r="ND51" s="301"/>
      <c r="NE51" s="301"/>
      <c r="NF51" s="301"/>
      <c r="NG51" s="301"/>
      <c r="NH51" s="301"/>
      <c r="NI51" s="301"/>
      <c r="NJ51" s="301"/>
      <c r="NK51" s="301"/>
      <c r="NL51" s="301"/>
      <c r="NM51" s="301"/>
      <c r="NN51" s="301"/>
      <c r="NO51" s="301"/>
      <c r="NP51" s="301"/>
      <c r="NQ51" s="301"/>
      <c r="NR51" s="301"/>
      <c r="NS51" s="301"/>
      <c r="NT51" s="301"/>
      <c r="NU51" s="301"/>
      <c r="NV51" s="301"/>
      <c r="NW51" s="301"/>
      <c r="NX51" s="301"/>
      <c r="NY51" s="301"/>
      <c r="NZ51" s="301"/>
      <c r="OA51" s="301"/>
      <c r="OB51" s="301"/>
      <c r="OC51" s="301"/>
      <c r="OD51" s="301"/>
      <c r="OE51" s="301"/>
      <c r="OF51" s="301"/>
      <c r="OG51" s="301"/>
      <c r="OH51" s="301"/>
      <c r="OI51" s="301"/>
      <c r="OJ51" s="301"/>
      <c r="OK51" s="301"/>
      <c r="OL51" s="301"/>
      <c r="OM51" s="301"/>
      <c r="ON51" s="301"/>
      <c r="OO51" s="301"/>
      <c r="OP51" s="301"/>
      <c r="OQ51" s="301"/>
      <c r="OR51" s="301"/>
      <c r="OS51" s="301"/>
      <c r="OT51" s="301"/>
      <c r="OU51" s="301"/>
      <c r="OV51" s="301"/>
      <c r="OW51" s="301"/>
      <c r="OX51" s="301"/>
      <c r="OY51" s="301"/>
      <c r="OZ51" s="301"/>
      <c r="PA51" s="301"/>
      <c r="PB51" s="301"/>
      <c r="PC51" s="301"/>
      <c r="PD51" s="301"/>
      <c r="PE51" s="301"/>
      <c r="PF51" s="301"/>
      <c r="PG51" s="301"/>
      <c r="PH51" s="301"/>
      <c r="PI51" s="301"/>
      <c r="PJ51" s="301"/>
      <c r="PK51" s="301"/>
      <c r="PL51" s="301"/>
      <c r="PM51" s="301"/>
      <c r="PN51" s="301"/>
      <c r="PO51" s="301"/>
      <c r="PP51" s="301"/>
      <c r="PQ51" s="301"/>
      <c r="PR51" s="301"/>
      <c r="PS51" s="301"/>
      <c r="PT51" s="301"/>
      <c r="PU51" s="301"/>
      <c r="PV51" s="301"/>
      <c r="PW51" s="301"/>
      <c r="PX51" s="301"/>
      <c r="PY51" s="301"/>
      <c r="PZ51" s="301"/>
      <c r="QA51" s="301"/>
      <c r="QB51" s="301"/>
      <c r="QC51" s="301"/>
      <c r="QD51" s="301"/>
      <c r="QE51" s="301"/>
      <c r="QF51" s="301"/>
      <c r="QG51" s="301"/>
      <c r="QH51" s="301"/>
      <c r="QI51" s="301"/>
      <c r="QJ51" s="301"/>
      <c r="QK51" s="301"/>
      <c r="QL51" s="301"/>
      <c r="QM51" s="301"/>
      <c r="QN51" s="301"/>
      <c r="QO51" s="301"/>
      <c r="QP51" s="301"/>
      <c r="QQ51" s="301"/>
      <c r="QR51" s="301"/>
      <c r="QS51" s="301"/>
      <c r="QT51" s="301"/>
      <c r="QU51" s="301"/>
      <c r="QV51" s="301"/>
      <c r="QW51" s="301"/>
      <c r="QX51" s="301"/>
      <c r="QY51" s="301"/>
      <c r="QZ51" s="301"/>
      <c r="RA51" s="301"/>
      <c r="RB51" s="301"/>
      <c r="RC51" s="301"/>
      <c r="RD51" s="301"/>
      <c r="RE51" s="301"/>
      <c r="RF51" s="301"/>
      <c r="RG51" s="301"/>
      <c r="RH51" s="301"/>
      <c r="RI51" s="301"/>
      <c r="RJ51" s="301"/>
      <c r="RK51" s="301"/>
      <c r="RL51" s="301"/>
      <c r="RM51" s="301"/>
      <c r="RN51" s="301"/>
      <c r="RO51" s="301"/>
      <c r="RP51" s="301"/>
      <c r="RQ51" s="301"/>
      <c r="RR51" s="301"/>
      <c r="RS51" s="301"/>
      <c r="RT51" s="301"/>
      <c r="RU51" s="301"/>
      <c r="RV51" s="301"/>
      <c r="RW51" s="301"/>
      <c r="RX51" s="301"/>
      <c r="RY51" s="301"/>
      <c r="RZ51" s="301"/>
      <c r="SA51" s="301"/>
      <c r="SB51" s="301"/>
      <c r="SC51" s="301"/>
      <c r="SD51" s="301"/>
      <c r="SE51" s="301"/>
      <c r="SF51" s="301"/>
      <c r="SG51" s="301"/>
      <c r="SH51" s="301"/>
      <c r="SI51" s="301"/>
      <c r="SJ51" s="301"/>
      <c r="SK51" s="301"/>
      <c r="SL51" s="301"/>
      <c r="SM51" s="301"/>
      <c r="SN51" s="301"/>
      <c r="SO51" s="301"/>
      <c r="SP51" s="301"/>
      <c r="SQ51" s="301"/>
      <c r="SR51" s="301"/>
      <c r="SS51" s="301"/>
      <c r="ST51" s="301"/>
      <c r="SU51" s="301"/>
      <c r="SV51" s="301"/>
      <c r="SW51" s="301"/>
      <c r="SX51" s="301"/>
      <c r="SY51" s="301"/>
      <c r="SZ51" s="301"/>
      <c r="TA51" s="301"/>
      <c r="TB51" s="301"/>
      <c r="TC51" s="301"/>
      <c r="TD51" s="301"/>
      <c r="TE51" s="301"/>
      <c r="TF51" s="301"/>
      <c r="TG51" s="301"/>
      <c r="TH51" s="301"/>
      <c r="TI51" s="301"/>
      <c r="TJ51" s="301"/>
      <c r="TK51" s="301"/>
      <c r="TL51" s="301"/>
      <c r="TM51" s="301"/>
      <c r="TN51" s="301"/>
      <c r="TO51" s="301"/>
      <c r="TP51" s="301"/>
      <c r="TQ51" s="301"/>
      <c r="TR51" s="301"/>
      <c r="TS51" s="301"/>
      <c r="TT51" s="301"/>
      <c r="TU51" s="301"/>
      <c r="TV51" s="301"/>
      <c r="TW51" s="301"/>
      <c r="TX51" s="301"/>
      <c r="TY51" s="301"/>
      <c r="TZ51" s="301"/>
      <c r="UA51" s="301"/>
      <c r="UB51" s="301"/>
      <c r="UC51" s="301"/>
      <c r="UD51" s="301"/>
      <c r="UE51" s="301"/>
      <c r="UF51" s="301"/>
      <c r="UG51" s="301"/>
      <c r="UH51" s="301"/>
      <c r="UI51" s="301"/>
      <c r="UJ51" s="301"/>
      <c r="UK51" s="301"/>
      <c r="UL51" s="301"/>
      <c r="UM51" s="301"/>
      <c r="UN51" s="301"/>
      <c r="UO51" s="301"/>
      <c r="UP51" s="301"/>
      <c r="UQ51" s="301"/>
      <c r="UR51" s="301"/>
      <c r="US51" s="301"/>
      <c r="UT51" s="301"/>
      <c r="UU51" s="301"/>
      <c r="UV51" s="301"/>
      <c r="UW51" s="301"/>
      <c r="UX51" s="301"/>
      <c r="UY51" s="301"/>
      <c r="UZ51" s="301"/>
      <c r="VA51" s="301"/>
      <c r="VB51" s="301"/>
      <c r="VC51" s="301"/>
      <c r="VD51" s="301"/>
      <c r="VE51" s="301"/>
      <c r="VF51" s="301"/>
      <c r="VG51" s="301"/>
      <c r="VH51" s="301"/>
      <c r="VI51" s="301"/>
      <c r="VJ51" s="301"/>
      <c r="VK51" s="301"/>
      <c r="VL51" s="301"/>
      <c r="VM51" s="301"/>
      <c r="VN51" s="301"/>
      <c r="VO51" s="301"/>
      <c r="VP51" s="301"/>
      <c r="VQ51" s="301"/>
      <c r="VR51" s="301"/>
      <c r="VS51" s="301"/>
      <c r="VT51" s="301"/>
      <c r="VU51" s="301"/>
      <c r="VV51" s="301"/>
      <c r="VW51" s="301"/>
      <c r="VX51" s="301"/>
      <c r="VY51" s="301"/>
      <c r="VZ51" s="301"/>
      <c r="WA51" s="301"/>
      <c r="WB51" s="301"/>
      <c r="WC51" s="301"/>
      <c r="WD51" s="301"/>
      <c r="WE51" s="301"/>
      <c r="WF51" s="301"/>
      <c r="WG51" s="301"/>
      <c r="WH51" s="301"/>
      <c r="WI51" s="301"/>
      <c r="WJ51" s="301"/>
      <c r="WK51" s="301"/>
      <c r="WL51" s="301"/>
      <c r="WM51" s="301"/>
      <c r="WN51" s="301"/>
      <c r="WO51" s="301"/>
      <c r="WP51" s="301"/>
      <c r="WQ51" s="301"/>
      <c r="WR51" s="301"/>
      <c r="WS51" s="301"/>
      <c r="WT51" s="301"/>
      <c r="WU51" s="301"/>
      <c r="WV51" s="301"/>
      <c r="WW51" s="301"/>
      <c r="WX51" s="301"/>
      <c r="WY51" s="301"/>
      <c r="WZ51" s="301"/>
      <c r="XA51" s="301"/>
      <c r="XB51" s="301"/>
      <c r="XC51" s="301"/>
      <c r="XD51" s="301"/>
      <c r="XE51" s="301"/>
      <c r="XF51" s="301"/>
      <c r="XG51" s="301"/>
      <c r="XH51" s="301"/>
      <c r="XI51" s="301"/>
      <c r="XJ51" s="301"/>
      <c r="XK51" s="301"/>
      <c r="XL51" s="301"/>
      <c r="XM51" s="301"/>
      <c r="XN51" s="301"/>
      <c r="XO51" s="301"/>
      <c r="XP51" s="301"/>
      <c r="XQ51" s="301"/>
      <c r="XR51" s="301"/>
      <c r="XS51" s="301"/>
      <c r="XT51" s="301"/>
      <c r="XU51" s="301"/>
      <c r="XV51" s="301"/>
      <c r="XW51" s="301"/>
      <c r="XX51" s="301"/>
      <c r="XY51" s="301"/>
      <c r="XZ51" s="301"/>
      <c r="YA51" s="301"/>
      <c r="YB51" s="301"/>
      <c r="YC51" s="301"/>
      <c r="YD51" s="301"/>
      <c r="YE51" s="301"/>
      <c r="YF51" s="301"/>
      <c r="YG51" s="301"/>
      <c r="YH51" s="301"/>
      <c r="YI51" s="301"/>
      <c r="YJ51" s="301"/>
      <c r="YK51" s="301"/>
      <c r="YL51" s="301"/>
      <c r="YM51" s="301"/>
      <c r="YN51" s="301"/>
      <c r="YO51" s="301"/>
      <c r="YP51" s="301"/>
      <c r="YQ51" s="301"/>
      <c r="YR51" s="301"/>
      <c r="YS51" s="301"/>
      <c r="YT51" s="301"/>
      <c r="YU51" s="301"/>
      <c r="YV51" s="301"/>
      <c r="YW51" s="301"/>
      <c r="YX51" s="301"/>
      <c r="YY51" s="301"/>
      <c r="YZ51" s="301"/>
      <c r="ZA51" s="301"/>
      <c r="ZB51" s="301"/>
      <c r="ZC51" s="301"/>
      <c r="ZD51" s="301"/>
      <c r="ZE51" s="301"/>
      <c r="ZF51" s="301"/>
      <c r="ZG51" s="301"/>
      <c r="ZH51" s="301"/>
      <c r="ZI51" s="301"/>
      <c r="ZJ51" s="301"/>
      <c r="ZK51" s="301"/>
      <c r="ZL51" s="301"/>
      <c r="ZM51" s="301"/>
      <c r="ZN51" s="301"/>
      <c r="ZO51" s="301"/>
      <c r="ZP51" s="301"/>
      <c r="ZQ51" s="301"/>
      <c r="ZR51" s="301"/>
      <c r="ZS51" s="301"/>
      <c r="ZT51" s="301"/>
      <c r="ZU51" s="301"/>
      <c r="ZV51" s="301"/>
      <c r="ZW51" s="301"/>
      <c r="ZX51" s="301"/>
      <c r="ZY51" s="301"/>
      <c r="ZZ51" s="301"/>
      <c r="AAA51" s="301"/>
      <c r="AAB51" s="301"/>
      <c r="AAC51" s="301"/>
      <c r="AAD51" s="301"/>
      <c r="AAE51" s="301"/>
      <c r="AAF51" s="301"/>
      <c r="AAG51" s="301"/>
      <c r="AAH51" s="301"/>
      <c r="AAI51" s="301"/>
      <c r="AAJ51" s="301"/>
      <c r="AAK51" s="301"/>
      <c r="AAL51" s="301"/>
      <c r="AAM51" s="301"/>
      <c r="AAN51" s="301"/>
      <c r="AAO51" s="301"/>
      <c r="AAP51" s="301"/>
      <c r="AAQ51" s="301"/>
      <c r="AAR51" s="301"/>
      <c r="AAS51" s="301"/>
      <c r="AAT51" s="301"/>
      <c r="AAU51" s="301"/>
      <c r="AAV51" s="301"/>
      <c r="AAW51" s="301"/>
      <c r="AAX51" s="301"/>
      <c r="AAY51" s="301"/>
      <c r="AAZ51" s="301"/>
      <c r="ABA51" s="301"/>
      <c r="ABB51" s="301"/>
      <c r="ABC51" s="301"/>
      <c r="ABD51" s="301"/>
      <c r="ABE51" s="301"/>
      <c r="ABF51" s="301"/>
      <c r="ABG51" s="301"/>
      <c r="ABH51" s="301"/>
      <c r="ABI51" s="301"/>
      <c r="ABJ51" s="301"/>
      <c r="ABK51" s="301"/>
      <c r="ABL51" s="301"/>
      <c r="ABM51" s="301"/>
      <c r="ABN51" s="301"/>
      <c r="ABO51" s="301"/>
      <c r="ABP51" s="301"/>
      <c r="ABQ51" s="301"/>
      <c r="ABR51" s="301"/>
      <c r="ABS51" s="301"/>
      <c r="ABT51" s="301"/>
      <c r="ABU51" s="301"/>
      <c r="ABV51" s="301"/>
      <c r="ABW51" s="301"/>
      <c r="ABX51" s="301"/>
      <c r="ABY51" s="301"/>
      <c r="ABZ51" s="301"/>
      <c r="ACA51" s="301"/>
      <c r="ACB51" s="301"/>
      <c r="ACC51" s="301"/>
      <c r="ACD51" s="301"/>
      <c r="ACE51" s="301"/>
      <c r="ACF51" s="301"/>
      <c r="ACG51" s="301"/>
      <c r="ACH51" s="301"/>
      <c r="ACI51" s="301"/>
      <c r="ACJ51" s="301"/>
      <c r="ACK51" s="301"/>
      <c r="ACL51" s="301"/>
      <c r="ACM51" s="301"/>
      <c r="ACN51" s="301"/>
      <c r="ACO51" s="301"/>
      <c r="ACP51" s="301"/>
      <c r="ACQ51" s="301"/>
      <c r="ACR51" s="301"/>
      <c r="ACS51" s="301"/>
      <c r="ACT51" s="301"/>
      <c r="ACU51" s="301"/>
      <c r="ACV51" s="301"/>
      <c r="ACW51" s="301"/>
      <c r="ACX51" s="301"/>
      <c r="ACY51" s="301"/>
      <c r="ACZ51" s="301"/>
      <c r="ADA51" s="301"/>
      <c r="ADB51" s="301"/>
      <c r="ADC51" s="301"/>
      <c r="ADD51" s="301"/>
      <c r="ADE51" s="301"/>
      <c r="ADF51" s="301"/>
      <c r="ADG51" s="301"/>
      <c r="ADH51" s="301"/>
      <c r="ADI51" s="301"/>
      <c r="ADJ51" s="301"/>
      <c r="ADK51" s="301"/>
      <c r="ADL51" s="301"/>
      <c r="ADM51" s="301"/>
      <c r="ADN51" s="301"/>
      <c r="ADO51" s="301"/>
      <c r="ADP51" s="301"/>
      <c r="ADQ51" s="301"/>
      <c r="ADR51" s="301"/>
      <c r="ADS51" s="301"/>
      <c r="ADT51" s="301"/>
      <c r="ADU51" s="301"/>
      <c r="ADV51" s="301"/>
      <c r="ADW51" s="301"/>
      <c r="ADX51" s="301"/>
      <c r="ADY51" s="301"/>
      <c r="ADZ51" s="301"/>
      <c r="AEA51" s="301"/>
      <c r="AEB51" s="301"/>
      <c r="AEC51" s="301"/>
      <c r="AED51" s="301"/>
      <c r="AEE51" s="301"/>
      <c r="AEF51" s="301"/>
      <c r="AEG51" s="301"/>
      <c r="AEH51" s="301"/>
      <c r="AEI51" s="301"/>
      <c r="AEJ51" s="301"/>
      <c r="AEK51" s="301"/>
      <c r="AEL51" s="301"/>
      <c r="AEM51" s="301"/>
      <c r="AEN51" s="301"/>
      <c r="AEO51" s="301"/>
      <c r="AEP51" s="301"/>
      <c r="AEQ51" s="301"/>
      <c r="AER51" s="301"/>
      <c r="AES51" s="301"/>
      <c r="AET51" s="301"/>
      <c r="AEU51" s="301"/>
      <c r="AEV51" s="301"/>
      <c r="AEW51" s="301"/>
      <c r="AEX51" s="301"/>
      <c r="AEY51" s="301"/>
      <c r="AEZ51" s="301"/>
      <c r="AFA51" s="301"/>
      <c r="AFB51" s="301"/>
      <c r="AFC51" s="301"/>
      <c r="AFD51" s="301"/>
      <c r="AFE51" s="301"/>
      <c r="AFF51" s="301"/>
      <c r="AFG51" s="301"/>
      <c r="AFH51" s="301"/>
      <c r="AFI51" s="301"/>
      <c r="AFJ51" s="301"/>
      <c r="AFK51" s="301"/>
      <c r="AFL51" s="301"/>
      <c r="AFM51" s="301"/>
      <c r="AFN51" s="301"/>
      <c r="AFO51" s="301"/>
      <c r="AFP51" s="301"/>
      <c r="AFQ51" s="301"/>
      <c r="AFR51" s="301"/>
      <c r="AFS51" s="301"/>
      <c r="AFT51" s="301"/>
      <c r="AFU51" s="301"/>
      <c r="AFV51" s="301"/>
      <c r="AFW51" s="301"/>
      <c r="AFX51" s="301"/>
      <c r="AFY51" s="301"/>
      <c r="AFZ51" s="301"/>
      <c r="AGA51" s="301"/>
      <c r="AGB51" s="301"/>
      <c r="AGC51" s="301"/>
      <c r="AGD51" s="301"/>
      <c r="AGE51" s="301"/>
      <c r="AGF51" s="301"/>
      <c r="AGG51" s="301"/>
      <c r="AGH51" s="301"/>
      <c r="AGI51" s="301"/>
      <c r="AGJ51" s="301"/>
      <c r="AGK51" s="301"/>
      <c r="AGL51" s="301"/>
      <c r="AGM51" s="301"/>
      <c r="AGN51" s="301"/>
      <c r="AGO51" s="301"/>
      <c r="AGP51" s="301"/>
      <c r="AGQ51" s="301"/>
      <c r="AGR51" s="301"/>
      <c r="AGS51" s="301"/>
      <c r="AGT51" s="301"/>
      <c r="AGU51" s="301"/>
      <c r="AGV51" s="301"/>
      <c r="AGW51" s="301"/>
      <c r="AGX51" s="301"/>
      <c r="AGY51" s="301"/>
      <c r="AGZ51" s="301"/>
      <c r="AHA51" s="301"/>
      <c r="AHB51" s="301"/>
      <c r="AHC51" s="301"/>
      <c r="AHD51" s="301"/>
      <c r="AHE51" s="301"/>
      <c r="AHF51" s="301"/>
      <c r="AHG51" s="301"/>
      <c r="AHH51" s="301"/>
      <c r="AHI51" s="301"/>
      <c r="AHJ51" s="301"/>
      <c r="AHK51" s="301"/>
      <c r="AHL51" s="301"/>
      <c r="AHM51" s="301"/>
      <c r="AHN51" s="301"/>
      <c r="AHO51" s="301"/>
      <c r="AHP51" s="301"/>
      <c r="AHQ51" s="301"/>
      <c r="AHR51" s="301"/>
      <c r="AHS51" s="301"/>
      <c r="AHT51" s="301"/>
      <c r="AHU51" s="301"/>
      <c r="AHV51" s="301"/>
      <c r="AHW51" s="301"/>
      <c r="AHX51" s="301"/>
      <c r="AHY51" s="301"/>
      <c r="AHZ51" s="301"/>
      <c r="AIA51" s="301"/>
      <c r="AIB51" s="301"/>
      <c r="AIC51" s="301"/>
      <c r="AID51" s="301"/>
      <c r="AIE51" s="301"/>
      <c r="AIF51" s="301"/>
      <c r="AIG51" s="301"/>
      <c r="AIH51" s="301"/>
      <c r="AII51" s="301"/>
      <c r="AIJ51" s="301"/>
      <c r="AIK51" s="301"/>
      <c r="AIL51" s="301"/>
      <c r="AIM51" s="301"/>
      <c r="AIN51" s="301"/>
      <c r="AIO51" s="301"/>
      <c r="AIP51" s="301"/>
      <c r="AIQ51" s="301"/>
      <c r="AIR51" s="301"/>
      <c r="AIS51" s="301"/>
      <c r="AIT51" s="301"/>
      <c r="AIU51" s="301"/>
      <c r="AIV51" s="301"/>
      <c r="AIW51" s="301"/>
      <c r="AIX51" s="301"/>
      <c r="AIY51" s="301"/>
      <c r="AIZ51" s="301"/>
      <c r="AJA51" s="301"/>
      <c r="AJB51" s="301"/>
      <c r="AJC51" s="301"/>
      <c r="AJD51" s="301"/>
      <c r="AJE51" s="301"/>
      <c r="AJF51" s="301"/>
      <c r="AJG51" s="301"/>
      <c r="AJH51" s="301"/>
      <c r="AJI51" s="301"/>
      <c r="AJJ51" s="301"/>
      <c r="AJK51" s="301"/>
      <c r="AJL51" s="301"/>
      <c r="AJM51" s="301"/>
      <c r="AJN51" s="301"/>
      <c r="AJO51" s="301"/>
      <c r="AJP51" s="301"/>
      <c r="AJQ51" s="301"/>
      <c r="AJR51" s="301"/>
      <c r="AJS51" s="301"/>
      <c r="AJT51" s="301"/>
      <c r="AJU51" s="301"/>
      <c r="AJV51" s="301"/>
      <c r="AJW51" s="301"/>
      <c r="AJX51" s="301"/>
      <c r="AJY51" s="301"/>
      <c r="AJZ51" s="301"/>
      <c r="AKA51" s="301"/>
      <c r="AKB51" s="301"/>
      <c r="AKC51" s="301"/>
      <c r="AKD51" s="301"/>
      <c r="AKE51" s="301"/>
      <c r="AKF51" s="301"/>
      <c r="AKG51" s="301"/>
      <c r="AKH51" s="301"/>
      <c r="AKI51" s="301"/>
      <c r="AKJ51" s="301"/>
      <c r="AKK51" s="301"/>
      <c r="AKL51" s="301"/>
      <c r="AKM51" s="301"/>
      <c r="AKN51" s="301"/>
      <c r="AKO51" s="301"/>
      <c r="AKP51" s="301"/>
      <c r="AKQ51" s="301"/>
      <c r="AKR51" s="301"/>
      <c r="AKS51" s="301"/>
      <c r="AKT51" s="301"/>
      <c r="AKU51" s="301"/>
      <c r="AKV51" s="301"/>
      <c r="AKW51" s="301"/>
      <c r="AKX51" s="301"/>
      <c r="AKY51" s="301"/>
      <c r="AKZ51" s="301"/>
      <c r="ALA51" s="301"/>
      <c r="ALB51" s="301"/>
      <c r="ALC51" s="301"/>
      <c r="ALD51" s="301"/>
      <c r="ALE51" s="301"/>
      <c r="ALF51" s="301"/>
      <c r="ALG51" s="301"/>
      <c r="ALH51" s="301"/>
      <c r="ALI51" s="301"/>
      <c r="ALJ51" s="301"/>
      <c r="ALK51" s="301"/>
      <c r="ALL51" s="301"/>
      <c r="ALM51" s="301"/>
      <c r="ALN51" s="301"/>
      <c r="ALO51" s="301"/>
      <c r="ALP51" s="301"/>
      <c r="ALQ51" s="301"/>
      <c r="ALR51" s="301"/>
      <c r="ALS51" s="301"/>
      <c r="ALT51" s="301"/>
      <c r="ALU51" s="301"/>
      <c r="ALV51" s="301"/>
      <c r="ALW51" s="301"/>
      <c r="ALX51" s="301"/>
      <c r="ALY51" s="301"/>
      <c r="ALZ51" s="301"/>
      <c r="AMA51" s="301"/>
      <c r="AMB51" s="301"/>
      <c r="AMC51" s="301"/>
      <c r="AMD51" s="301"/>
      <c r="AME51" s="301"/>
      <c r="AMF51" s="301"/>
      <c r="AMG51" s="301"/>
      <c r="AMH51" s="301"/>
      <c r="AMI51" s="301"/>
      <c r="AMJ51" s="301"/>
    </row>
    <row r="52" customFormat="false" ht="12.8" hidden="false" customHeight="false" outlineLevel="0" collapsed="false">
      <c r="A52" s="299" t="s">
        <v>223</v>
      </c>
      <c r="B52" s="310"/>
      <c r="C52" s="311" t="str">
        <f aca="false">IF(B52&gt;0,1,"")</f>
        <v/>
      </c>
      <c r="D52" s="310"/>
      <c r="E52" s="311" t="str">
        <f aca="false">IF(D52&gt;0,1,"")</f>
        <v/>
      </c>
      <c r="F52" s="310" t="n">
        <v>0</v>
      </c>
      <c r="G52" s="311" t="str">
        <f aca="false">IF(F52&gt;0,1,"")</f>
        <v/>
      </c>
      <c r="H52" s="310"/>
      <c r="I52" s="311" t="str">
        <f aca="false">IF(H52&gt;0,1,"")</f>
        <v/>
      </c>
      <c r="J52" s="326" t="str">
        <f aca="false">IF(SUM(C52,E52,G52,I52)&gt;1,"ERROR",IF(B52&gt;=1,B52*52,IF(D52&gt;=1,D52*26,IF(F52&gt;=1,F52*12,IF(H52&gt;=1,H52*4,"")))))</f>
        <v/>
      </c>
      <c r="K52" s="301"/>
      <c r="L52" s="301"/>
      <c r="M52" s="301"/>
      <c r="N52" s="301"/>
      <c r="O52" s="301"/>
      <c r="P52" s="301"/>
      <c r="Q52" s="301"/>
      <c r="R52" s="301"/>
      <c r="S52" s="301"/>
      <c r="T52" s="301"/>
      <c r="U52" s="301"/>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301"/>
      <c r="BP52" s="301"/>
      <c r="BQ52" s="301"/>
      <c r="BR52" s="301"/>
      <c r="BS52" s="301"/>
      <c r="BT52" s="301"/>
      <c r="BU52" s="301"/>
      <c r="BV52" s="301"/>
      <c r="BW52" s="301"/>
      <c r="BX52" s="301"/>
      <c r="BY52" s="301"/>
      <c r="BZ52" s="301"/>
      <c r="CA52" s="301"/>
      <c r="CB52" s="301"/>
      <c r="CC52" s="301"/>
      <c r="CD52" s="301"/>
      <c r="CE52" s="301"/>
      <c r="CF52" s="301"/>
      <c r="CG52" s="301"/>
      <c r="CH52" s="301"/>
      <c r="CI52" s="301"/>
      <c r="CJ52" s="301"/>
      <c r="CK52" s="301"/>
      <c r="CL52" s="301"/>
      <c r="CM52" s="301"/>
      <c r="CN52" s="301"/>
      <c r="CO52" s="301"/>
      <c r="CP52" s="301"/>
      <c r="CQ52" s="301"/>
      <c r="CR52" s="301"/>
      <c r="CS52" s="301"/>
      <c r="CT52" s="301"/>
      <c r="CU52" s="301"/>
      <c r="CV52" s="301"/>
      <c r="CW52" s="301"/>
      <c r="CX52" s="301"/>
      <c r="CY52" s="301"/>
      <c r="CZ52" s="301"/>
      <c r="DA52" s="301"/>
      <c r="DB52" s="301"/>
      <c r="DC52" s="301"/>
      <c r="DD52" s="301"/>
      <c r="DE52" s="301"/>
      <c r="DF52" s="301"/>
      <c r="DG52" s="301"/>
      <c r="DH52" s="301"/>
      <c r="DI52" s="301"/>
      <c r="DJ52" s="301"/>
      <c r="DK52" s="301"/>
      <c r="DL52" s="301"/>
      <c r="DM52" s="301"/>
      <c r="DN52" s="301"/>
      <c r="DO52" s="301"/>
      <c r="DP52" s="301"/>
      <c r="DQ52" s="301"/>
      <c r="DR52" s="301"/>
      <c r="DS52" s="301"/>
      <c r="DT52" s="301"/>
      <c r="DU52" s="301"/>
      <c r="DV52" s="301"/>
      <c r="DW52" s="301"/>
      <c r="DX52" s="301"/>
      <c r="DY52" s="301"/>
      <c r="DZ52" s="301"/>
      <c r="EA52" s="301"/>
      <c r="EB52" s="301"/>
      <c r="EC52" s="301"/>
      <c r="ED52" s="301"/>
      <c r="EE52" s="301"/>
      <c r="EF52" s="301"/>
      <c r="EG52" s="301"/>
      <c r="EH52" s="301"/>
      <c r="EI52" s="301"/>
      <c r="EJ52" s="301"/>
      <c r="EK52" s="301"/>
      <c r="EL52" s="301"/>
      <c r="EM52" s="301"/>
      <c r="EN52" s="301"/>
      <c r="EO52" s="301"/>
      <c r="EP52" s="301"/>
      <c r="EQ52" s="301"/>
      <c r="ER52" s="301"/>
      <c r="ES52" s="301"/>
      <c r="ET52" s="301"/>
      <c r="EU52" s="301"/>
      <c r="EV52" s="301"/>
      <c r="EW52" s="301"/>
      <c r="EX52" s="301"/>
      <c r="EY52" s="301"/>
      <c r="EZ52" s="301"/>
      <c r="FA52" s="301"/>
      <c r="FB52" s="301"/>
      <c r="FC52" s="301"/>
      <c r="FD52" s="301"/>
      <c r="FE52" s="301"/>
      <c r="FF52" s="301"/>
      <c r="FG52" s="301"/>
      <c r="FH52" s="301"/>
      <c r="FI52" s="301"/>
      <c r="FJ52" s="301"/>
      <c r="FK52" s="301"/>
      <c r="FL52" s="301"/>
      <c r="FM52" s="301"/>
      <c r="FN52" s="301"/>
      <c r="FO52" s="301"/>
      <c r="FP52" s="301"/>
      <c r="FQ52" s="301"/>
      <c r="FR52" s="301"/>
      <c r="FS52" s="301"/>
      <c r="FT52" s="301"/>
      <c r="FU52" s="301"/>
      <c r="FV52" s="301"/>
      <c r="FW52" s="301"/>
      <c r="FX52" s="301"/>
      <c r="FY52" s="301"/>
      <c r="FZ52" s="301"/>
      <c r="GA52" s="301"/>
      <c r="GB52" s="301"/>
      <c r="GC52" s="301"/>
      <c r="GD52" s="301"/>
      <c r="GE52" s="301"/>
      <c r="GF52" s="301"/>
      <c r="GG52" s="301"/>
      <c r="GH52" s="301"/>
      <c r="GI52" s="301"/>
      <c r="GJ52" s="301"/>
      <c r="GK52" s="301"/>
      <c r="GL52" s="301"/>
      <c r="GM52" s="301"/>
      <c r="GN52" s="301"/>
      <c r="GO52" s="301"/>
      <c r="GP52" s="301"/>
      <c r="GQ52" s="301"/>
      <c r="GR52" s="301"/>
      <c r="GS52" s="301"/>
      <c r="GT52" s="301"/>
      <c r="GU52" s="301"/>
      <c r="GV52" s="301"/>
      <c r="GW52" s="301"/>
      <c r="GX52" s="301"/>
      <c r="GY52" s="301"/>
      <c r="GZ52" s="301"/>
      <c r="HA52" s="301"/>
      <c r="HB52" s="301"/>
      <c r="HC52" s="301"/>
      <c r="HD52" s="301"/>
      <c r="HE52" s="301"/>
      <c r="HF52" s="301"/>
      <c r="HG52" s="301"/>
      <c r="HH52" s="301"/>
      <c r="HI52" s="301"/>
      <c r="HJ52" s="301"/>
      <c r="HK52" s="301"/>
      <c r="HL52" s="301"/>
      <c r="HM52" s="301"/>
      <c r="HN52" s="301"/>
      <c r="HO52" s="301"/>
      <c r="HP52" s="301"/>
      <c r="HQ52" s="301"/>
      <c r="HR52" s="301"/>
      <c r="HS52" s="301"/>
      <c r="HT52" s="301"/>
      <c r="HU52" s="301"/>
      <c r="HV52" s="301"/>
      <c r="HW52" s="301"/>
      <c r="HX52" s="301"/>
      <c r="HY52" s="301"/>
      <c r="HZ52" s="301"/>
      <c r="IA52" s="301"/>
      <c r="IB52" s="301"/>
      <c r="IC52" s="301"/>
      <c r="ID52" s="301"/>
      <c r="IE52" s="301"/>
      <c r="IF52" s="301"/>
      <c r="IG52" s="301"/>
      <c r="IH52" s="301"/>
      <c r="II52" s="301"/>
      <c r="IJ52" s="301"/>
      <c r="IK52" s="301"/>
      <c r="IL52" s="301"/>
      <c r="IM52" s="301"/>
      <c r="IN52" s="301"/>
      <c r="IO52" s="301"/>
      <c r="IP52" s="301"/>
      <c r="IQ52" s="301"/>
      <c r="IR52" s="301"/>
      <c r="IS52" s="301"/>
      <c r="IT52" s="301"/>
      <c r="IU52" s="301"/>
      <c r="IV52" s="301"/>
      <c r="IW52" s="301"/>
      <c r="IX52" s="301"/>
      <c r="IY52" s="301"/>
      <c r="IZ52" s="301"/>
      <c r="JA52" s="301"/>
      <c r="JB52" s="301"/>
      <c r="JC52" s="301"/>
      <c r="JD52" s="301"/>
      <c r="JE52" s="301"/>
      <c r="JF52" s="301"/>
      <c r="JG52" s="301"/>
      <c r="JH52" s="301"/>
      <c r="JI52" s="301"/>
      <c r="JJ52" s="301"/>
      <c r="JK52" s="301"/>
      <c r="JL52" s="301"/>
      <c r="JM52" s="301"/>
      <c r="JN52" s="301"/>
      <c r="JO52" s="301"/>
      <c r="JP52" s="301"/>
      <c r="JQ52" s="301"/>
      <c r="JR52" s="301"/>
      <c r="JS52" s="301"/>
      <c r="JT52" s="301"/>
      <c r="JU52" s="301"/>
      <c r="JV52" s="301"/>
      <c r="JW52" s="301"/>
      <c r="JX52" s="301"/>
      <c r="JY52" s="301"/>
      <c r="JZ52" s="301"/>
      <c r="KA52" s="301"/>
      <c r="KB52" s="301"/>
      <c r="KC52" s="301"/>
      <c r="KD52" s="301"/>
      <c r="KE52" s="301"/>
      <c r="KF52" s="301"/>
      <c r="KG52" s="301"/>
      <c r="KH52" s="301"/>
      <c r="KI52" s="301"/>
      <c r="KJ52" s="301"/>
      <c r="KK52" s="301"/>
      <c r="KL52" s="301"/>
      <c r="KM52" s="301"/>
      <c r="KN52" s="301"/>
      <c r="KO52" s="301"/>
      <c r="KP52" s="301"/>
      <c r="KQ52" s="301"/>
      <c r="KR52" s="301"/>
      <c r="KS52" s="301"/>
      <c r="KT52" s="301"/>
      <c r="KU52" s="301"/>
      <c r="KV52" s="301"/>
      <c r="KW52" s="301"/>
      <c r="KX52" s="301"/>
      <c r="KY52" s="301"/>
      <c r="KZ52" s="301"/>
      <c r="LA52" s="301"/>
      <c r="LB52" s="301"/>
      <c r="LC52" s="301"/>
      <c r="LD52" s="301"/>
      <c r="LE52" s="301"/>
      <c r="LF52" s="301"/>
      <c r="LG52" s="301"/>
      <c r="LH52" s="301"/>
      <c r="LI52" s="301"/>
      <c r="LJ52" s="301"/>
      <c r="LK52" s="301"/>
      <c r="LL52" s="301"/>
      <c r="LM52" s="301"/>
      <c r="LN52" s="301"/>
      <c r="LO52" s="301"/>
      <c r="LP52" s="301"/>
      <c r="LQ52" s="301"/>
      <c r="LR52" s="301"/>
      <c r="LS52" s="301"/>
      <c r="LT52" s="301"/>
      <c r="LU52" s="301"/>
      <c r="LV52" s="301"/>
      <c r="LW52" s="301"/>
      <c r="LX52" s="301"/>
      <c r="LY52" s="301"/>
      <c r="LZ52" s="301"/>
      <c r="MA52" s="301"/>
      <c r="MB52" s="301"/>
      <c r="MC52" s="301"/>
      <c r="MD52" s="301"/>
      <c r="ME52" s="301"/>
      <c r="MF52" s="301"/>
      <c r="MG52" s="301"/>
      <c r="MH52" s="301"/>
      <c r="MI52" s="301"/>
      <c r="MJ52" s="301"/>
      <c r="MK52" s="301"/>
      <c r="ML52" s="301"/>
      <c r="MM52" s="301"/>
      <c r="MN52" s="301"/>
      <c r="MO52" s="301"/>
      <c r="MP52" s="301"/>
      <c r="MQ52" s="301"/>
      <c r="MR52" s="301"/>
      <c r="MS52" s="301"/>
      <c r="MT52" s="301"/>
      <c r="MU52" s="301"/>
      <c r="MV52" s="301"/>
      <c r="MW52" s="301"/>
      <c r="MX52" s="301"/>
      <c r="MY52" s="301"/>
      <c r="MZ52" s="301"/>
      <c r="NA52" s="301"/>
      <c r="NB52" s="301"/>
      <c r="NC52" s="301"/>
      <c r="ND52" s="301"/>
      <c r="NE52" s="301"/>
      <c r="NF52" s="301"/>
      <c r="NG52" s="301"/>
      <c r="NH52" s="301"/>
      <c r="NI52" s="301"/>
      <c r="NJ52" s="301"/>
      <c r="NK52" s="301"/>
      <c r="NL52" s="301"/>
      <c r="NM52" s="301"/>
      <c r="NN52" s="301"/>
      <c r="NO52" s="301"/>
      <c r="NP52" s="301"/>
      <c r="NQ52" s="301"/>
      <c r="NR52" s="301"/>
      <c r="NS52" s="301"/>
      <c r="NT52" s="301"/>
      <c r="NU52" s="301"/>
      <c r="NV52" s="301"/>
      <c r="NW52" s="301"/>
      <c r="NX52" s="301"/>
      <c r="NY52" s="301"/>
      <c r="NZ52" s="301"/>
      <c r="OA52" s="301"/>
      <c r="OB52" s="301"/>
      <c r="OC52" s="301"/>
      <c r="OD52" s="301"/>
      <c r="OE52" s="301"/>
      <c r="OF52" s="301"/>
      <c r="OG52" s="301"/>
      <c r="OH52" s="301"/>
      <c r="OI52" s="301"/>
      <c r="OJ52" s="301"/>
      <c r="OK52" s="301"/>
      <c r="OL52" s="301"/>
      <c r="OM52" s="301"/>
      <c r="ON52" s="301"/>
      <c r="OO52" s="301"/>
      <c r="OP52" s="301"/>
      <c r="OQ52" s="301"/>
      <c r="OR52" s="301"/>
      <c r="OS52" s="301"/>
      <c r="OT52" s="301"/>
      <c r="OU52" s="301"/>
      <c r="OV52" s="301"/>
      <c r="OW52" s="301"/>
      <c r="OX52" s="301"/>
      <c r="OY52" s="301"/>
      <c r="OZ52" s="301"/>
      <c r="PA52" s="301"/>
      <c r="PB52" s="301"/>
      <c r="PC52" s="301"/>
      <c r="PD52" s="301"/>
      <c r="PE52" s="301"/>
      <c r="PF52" s="301"/>
      <c r="PG52" s="301"/>
      <c r="PH52" s="301"/>
      <c r="PI52" s="301"/>
      <c r="PJ52" s="301"/>
      <c r="PK52" s="301"/>
      <c r="PL52" s="301"/>
      <c r="PM52" s="301"/>
      <c r="PN52" s="301"/>
      <c r="PO52" s="301"/>
      <c r="PP52" s="301"/>
      <c r="PQ52" s="301"/>
      <c r="PR52" s="301"/>
      <c r="PS52" s="301"/>
      <c r="PT52" s="301"/>
      <c r="PU52" s="301"/>
      <c r="PV52" s="301"/>
      <c r="PW52" s="301"/>
      <c r="PX52" s="301"/>
      <c r="PY52" s="301"/>
      <c r="PZ52" s="301"/>
      <c r="QA52" s="301"/>
      <c r="QB52" s="301"/>
      <c r="QC52" s="301"/>
      <c r="QD52" s="301"/>
      <c r="QE52" s="301"/>
      <c r="QF52" s="301"/>
      <c r="QG52" s="301"/>
      <c r="QH52" s="301"/>
      <c r="QI52" s="301"/>
      <c r="QJ52" s="301"/>
      <c r="QK52" s="301"/>
      <c r="QL52" s="301"/>
      <c r="QM52" s="301"/>
      <c r="QN52" s="301"/>
      <c r="QO52" s="301"/>
      <c r="QP52" s="301"/>
      <c r="QQ52" s="301"/>
      <c r="QR52" s="301"/>
      <c r="QS52" s="301"/>
      <c r="QT52" s="301"/>
      <c r="QU52" s="301"/>
      <c r="QV52" s="301"/>
      <c r="QW52" s="301"/>
      <c r="QX52" s="301"/>
      <c r="QY52" s="301"/>
      <c r="QZ52" s="301"/>
      <c r="RA52" s="301"/>
      <c r="RB52" s="301"/>
      <c r="RC52" s="301"/>
      <c r="RD52" s="301"/>
      <c r="RE52" s="301"/>
      <c r="RF52" s="301"/>
      <c r="RG52" s="301"/>
      <c r="RH52" s="301"/>
      <c r="RI52" s="301"/>
      <c r="RJ52" s="301"/>
      <c r="RK52" s="301"/>
      <c r="RL52" s="301"/>
      <c r="RM52" s="301"/>
      <c r="RN52" s="301"/>
      <c r="RO52" s="301"/>
      <c r="RP52" s="301"/>
      <c r="RQ52" s="301"/>
      <c r="RR52" s="301"/>
      <c r="RS52" s="301"/>
      <c r="RT52" s="301"/>
      <c r="RU52" s="301"/>
      <c r="RV52" s="301"/>
      <c r="RW52" s="301"/>
      <c r="RX52" s="301"/>
      <c r="RY52" s="301"/>
      <c r="RZ52" s="301"/>
      <c r="SA52" s="301"/>
      <c r="SB52" s="301"/>
      <c r="SC52" s="301"/>
      <c r="SD52" s="301"/>
      <c r="SE52" s="301"/>
      <c r="SF52" s="301"/>
      <c r="SG52" s="301"/>
      <c r="SH52" s="301"/>
      <c r="SI52" s="301"/>
      <c r="SJ52" s="301"/>
      <c r="SK52" s="301"/>
      <c r="SL52" s="301"/>
      <c r="SM52" s="301"/>
      <c r="SN52" s="301"/>
      <c r="SO52" s="301"/>
      <c r="SP52" s="301"/>
      <c r="SQ52" s="301"/>
      <c r="SR52" s="301"/>
      <c r="SS52" s="301"/>
      <c r="ST52" s="301"/>
      <c r="SU52" s="301"/>
      <c r="SV52" s="301"/>
      <c r="SW52" s="301"/>
      <c r="SX52" s="301"/>
      <c r="SY52" s="301"/>
      <c r="SZ52" s="301"/>
      <c r="TA52" s="301"/>
      <c r="TB52" s="301"/>
      <c r="TC52" s="301"/>
      <c r="TD52" s="301"/>
      <c r="TE52" s="301"/>
      <c r="TF52" s="301"/>
      <c r="TG52" s="301"/>
      <c r="TH52" s="301"/>
      <c r="TI52" s="301"/>
      <c r="TJ52" s="301"/>
      <c r="TK52" s="301"/>
      <c r="TL52" s="301"/>
      <c r="TM52" s="301"/>
      <c r="TN52" s="301"/>
      <c r="TO52" s="301"/>
      <c r="TP52" s="301"/>
      <c r="TQ52" s="301"/>
      <c r="TR52" s="301"/>
      <c r="TS52" s="301"/>
      <c r="TT52" s="301"/>
      <c r="TU52" s="301"/>
      <c r="TV52" s="301"/>
      <c r="TW52" s="301"/>
      <c r="TX52" s="301"/>
      <c r="TY52" s="301"/>
      <c r="TZ52" s="301"/>
      <c r="UA52" s="301"/>
      <c r="UB52" s="301"/>
      <c r="UC52" s="301"/>
      <c r="UD52" s="301"/>
      <c r="UE52" s="301"/>
      <c r="UF52" s="301"/>
      <c r="UG52" s="301"/>
      <c r="UH52" s="301"/>
      <c r="UI52" s="301"/>
      <c r="UJ52" s="301"/>
      <c r="UK52" s="301"/>
      <c r="UL52" s="301"/>
      <c r="UM52" s="301"/>
      <c r="UN52" s="301"/>
      <c r="UO52" s="301"/>
      <c r="UP52" s="301"/>
      <c r="UQ52" s="301"/>
      <c r="UR52" s="301"/>
      <c r="US52" s="301"/>
      <c r="UT52" s="301"/>
      <c r="UU52" s="301"/>
      <c r="UV52" s="301"/>
      <c r="UW52" s="301"/>
      <c r="UX52" s="301"/>
      <c r="UY52" s="301"/>
      <c r="UZ52" s="301"/>
      <c r="VA52" s="301"/>
      <c r="VB52" s="301"/>
      <c r="VC52" s="301"/>
      <c r="VD52" s="301"/>
      <c r="VE52" s="301"/>
      <c r="VF52" s="301"/>
      <c r="VG52" s="301"/>
      <c r="VH52" s="301"/>
      <c r="VI52" s="301"/>
      <c r="VJ52" s="301"/>
      <c r="VK52" s="301"/>
      <c r="VL52" s="301"/>
      <c r="VM52" s="301"/>
      <c r="VN52" s="301"/>
      <c r="VO52" s="301"/>
      <c r="VP52" s="301"/>
      <c r="VQ52" s="301"/>
      <c r="VR52" s="301"/>
      <c r="VS52" s="301"/>
      <c r="VT52" s="301"/>
      <c r="VU52" s="301"/>
      <c r="VV52" s="301"/>
      <c r="VW52" s="301"/>
      <c r="VX52" s="301"/>
      <c r="VY52" s="301"/>
      <c r="VZ52" s="301"/>
      <c r="WA52" s="301"/>
      <c r="WB52" s="301"/>
      <c r="WC52" s="301"/>
      <c r="WD52" s="301"/>
      <c r="WE52" s="301"/>
      <c r="WF52" s="301"/>
      <c r="WG52" s="301"/>
      <c r="WH52" s="301"/>
      <c r="WI52" s="301"/>
      <c r="WJ52" s="301"/>
      <c r="WK52" s="301"/>
      <c r="WL52" s="301"/>
      <c r="WM52" s="301"/>
      <c r="WN52" s="301"/>
      <c r="WO52" s="301"/>
      <c r="WP52" s="301"/>
      <c r="WQ52" s="301"/>
      <c r="WR52" s="301"/>
      <c r="WS52" s="301"/>
      <c r="WT52" s="301"/>
      <c r="WU52" s="301"/>
      <c r="WV52" s="301"/>
      <c r="WW52" s="301"/>
      <c r="WX52" s="301"/>
      <c r="WY52" s="301"/>
      <c r="WZ52" s="301"/>
      <c r="XA52" s="301"/>
      <c r="XB52" s="301"/>
      <c r="XC52" s="301"/>
      <c r="XD52" s="301"/>
      <c r="XE52" s="301"/>
      <c r="XF52" s="301"/>
      <c r="XG52" s="301"/>
      <c r="XH52" s="301"/>
      <c r="XI52" s="301"/>
      <c r="XJ52" s="301"/>
      <c r="XK52" s="301"/>
      <c r="XL52" s="301"/>
      <c r="XM52" s="301"/>
      <c r="XN52" s="301"/>
      <c r="XO52" s="301"/>
      <c r="XP52" s="301"/>
      <c r="XQ52" s="301"/>
      <c r="XR52" s="301"/>
      <c r="XS52" s="301"/>
      <c r="XT52" s="301"/>
      <c r="XU52" s="301"/>
      <c r="XV52" s="301"/>
      <c r="XW52" s="301"/>
      <c r="XX52" s="301"/>
      <c r="XY52" s="301"/>
      <c r="XZ52" s="301"/>
      <c r="YA52" s="301"/>
      <c r="YB52" s="301"/>
      <c r="YC52" s="301"/>
      <c r="YD52" s="301"/>
      <c r="YE52" s="301"/>
      <c r="YF52" s="301"/>
      <c r="YG52" s="301"/>
      <c r="YH52" s="301"/>
      <c r="YI52" s="301"/>
      <c r="YJ52" s="301"/>
      <c r="YK52" s="301"/>
      <c r="YL52" s="301"/>
      <c r="YM52" s="301"/>
      <c r="YN52" s="301"/>
      <c r="YO52" s="301"/>
      <c r="YP52" s="301"/>
      <c r="YQ52" s="301"/>
      <c r="YR52" s="301"/>
      <c r="YS52" s="301"/>
      <c r="YT52" s="301"/>
      <c r="YU52" s="301"/>
      <c r="YV52" s="301"/>
      <c r="YW52" s="301"/>
      <c r="YX52" s="301"/>
      <c r="YY52" s="301"/>
      <c r="YZ52" s="301"/>
      <c r="ZA52" s="301"/>
      <c r="ZB52" s="301"/>
      <c r="ZC52" s="301"/>
      <c r="ZD52" s="301"/>
      <c r="ZE52" s="301"/>
      <c r="ZF52" s="301"/>
      <c r="ZG52" s="301"/>
      <c r="ZH52" s="301"/>
      <c r="ZI52" s="301"/>
      <c r="ZJ52" s="301"/>
      <c r="ZK52" s="301"/>
      <c r="ZL52" s="301"/>
      <c r="ZM52" s="301"/>
      <c r="ZN52" s="301"/>
      <c r="ZO52" s="301"/>
      <c r="ZP52" s="301"/>
      <c r="ZQ52" s="301"/>
      <c r="ZR52" s="301"/>
      <c r="ZS52" s="301"/>
      <c r="ZT52" s="301"/>
      <c r="ZU52" s="301"/>
      <c r="ZV52" s="301"/>
      <c r="ZW52" s="301"/>
      <c r="ZX52" s="301"/>
      <c r="ZY52" s="301"/>
      <c r="ZZ52" s="301"/>
      <c r="AAA52" s="301"/>
      <c r="AAB52" s="301"/>
      <c r="AAC52" s="301"/>
      <c r="AAD52" s="301"/>
      <c r="AAE52" s="301"/>
      <c r="AAF52" s="301"/>
      <c r="AAG52" s="301"/>
      <c r="AAH52" s="301"/>
      <c r="AAI52" s="301"/>
      <c r="AAJ52" s="301"/>
      <c r="AAK52" s="301"/>
      <c r="AAL52" s="301"/>
      <c r="AAM52" s="301"/>
      <c r="AAN52" s="301"/>
      <c r="AAO52" s="301"/>
      <c r="AAP52" s="301"/>
      <c r="AAQ52" s="301"/>
      <c r="AAR52" s="301"/>
      <c r="AAS52" s="301"/>
      <c r="AAT52" s="301"/>
      <c r="AAU52" s="301"/>
      <c r="AAV52" s="301"/>
      <c r="AAW52" s="301"/>
      <c r="AAX52" s="301"/>
      <c r="AAY52" s="301"/>
      <c r="AAZ52" s="301"/>
      <c r="ABA52" s="301"/>
      <c r="ABB52" s="301"/>
      <c r="ABC52" s="301"/>
      <c r="ABD52" s="301"/>
      <c r="ABE52" s="301"/>
      <c r="ABF52" s="301"/>
      <c r="ABG52" s="301"/>
      <c r="ABH52" s="301"/>
      <c r="ABI52" s="301"/>
      <c r="ABJ52" s="301"/>
      <c r="ABK52" s="301"/>
      <c r="ABL52" s="301"/>
      <c r="ABM52" s="301"/>
      <c r="ABN52" s="301"/>
      <c r="ABO52" s="301"/>
      <c r="ABP52" s="301"/>
      <c r="ABQ52" s="301"/>
      <c r="ABR52" s="301"/>
      <c r="ABS52" s="301"/>
      <c r="ABT52" s="301"/>
      <c r="ABU52" s="301"/>
      <c r="ABV52" s="301"/>
      <c r="ABW52" s="301"/>
      <c r="ABX52" s="301"/>
      <c r="ABY52" s="301"/>
      <c r="ABZ52" s="301"/>
      <c r="ACA52" s="301"/>
      <c r="ACB52" s="301"/>
      <c r="ACC52" s="301"/>
      <c r="ACD52" s="301"/>
      <c r="ACE52" s="301"/>
      <c r="ACF52" s="301"/>
      <c r="ACG52" s="301"/>
      <c r="ACH52" s="301"/>
      <c r="ACI52" s="301"/>
      <c r="ACJ52" s="301"/>
      <c r="ACK52" s="301"/>
      <c r="ACL52" s="301"/>
      <c r="ACM52" s="301"/>
      <c r="ACN52" s="301"/>
      <c r="ACO52" s="301"/>
      <c r="ACP52" s="301"/>
      <c r="ACQ52" s="301"/>
      <c r="ACR52" s="301"/>
      <c r="ACS52" s="301"/>
      <c r="ACT52" s="301"/>
      <c r="ACU52" s="301"/>
      <c r="ACV52" s="301"/>
      <c r="ACW52" s="301"/>
      <c r="ACX52" s="301"/>
      <c r="ACY52" s="301"/>
      <c r="ACZ52" s="301"/>
      <c r="ADA52" s="301"/>
      <c r="ADB52" s="301"/>
      <c r="ADC52" s="301"/>
      <c r="ADD52" s="301"/>
      <c r="ADE52" s="301"/>
      <c r="ADF52" s="301"/>
      <c r="ADG52" s="301"/>
      <c r="ADH52" s="301"/>
      <c r="ADI52" s="301"/>
      <c r="ADJ52" s="301"/>
      <c r="ADK52" s="301"/>
      <c r="ADL52" s="301"/>
      <c r="ADM52" s="301"/>
      <c r="ADN52" s="301"/>
      <c r="ADO52" s="301"/>
      <c r="ADP52" s="301"/>
      <c r="ADQ52" s="301"/>
      <c r="ADR52" s="301"/>
      <c r="ADS52" s="301"/>
      <c r="ADT52" s="301"/>
      <c r="ADU52" s="301"/>
      <c r="ADV52" s="301"/>
      <c r="ADW52" s="301"/>
      <c r="ADX52" s="301"/>
      <c r="ADY52" s="301"/>
      <c r="ADZ52" s="301"/>
      <c r="AEA52" s="301"/>
      <c r="AEB52" s="301"/>
      <c r="AEC52" s="301"/>
      <c r="AED52" s="301"/>
      <c r="AEE52" s="301"/>
      <c r="AEF52" s="301"/>
      <c r="AEG52" s="301"/>
      <c r="AEH52" s="301"/>
      <c r="AEI52" s="301"/>
      <c r="AEJ52" s="301"/>
      <c r="AEK52" s="301"/>
      <c r="AEL52" s="301"/>
      <c r="AEM52" s="301"/>
      <c r="AEN52" s="301"/>
      <c r="AEO52" s="301"/>
      <c r="AEP52" s="301"/>
      <c r="AEQ52" s="301"/>
      <c r="AER52" s="301"/>
      <c r="AES52" s="301"/>
      <c r="AET52" s="301"/>
      <c r="AEU52" s="301"/>
      <c r="AEV52" s="301"/>
      <c r="AEW52" s="301"/>
      <c r="AEX52" s="301"/>
      <c r="AEY52" s="301"/>
      <c r="AEZ52" s="301"/>
      <c r="AFA52" s="301"/>
      <c r="AFB52" s="301"/>
      <c r="AFC52" s="301"/>
      <c r="AFD52" s="301"/>
      <c r="AFE52" s="301"/>
      <c r="AFF52" s="301"/>
      <c r="AFG52" s="301"/>
      <c r="AFH52" s="301"/>
      <c r="AFI52" s="301"/>
      <c r="AFJ52" s="301"/>
      <c r="AFK52" s="301"/>
      <c r="AFL52" s="301"/>
      <c r="AFM52" s="301"/>
      <c r="AFN52" s="301"/>
      <c r="AFO52" s="301"/>
      <c r="AFP52" s="301"/>
      <c r="AFQ52" s="301"/>
      <c r="AFR52" s="301"/>
      <c r="AFS52" s="301"/>
      <c r="AFT52" s="301"/>
      <c r="AFU52" s="301"/>
      <c r="AFV52" s="301"/>
      <c r="AFW52" s="301"/>
      <c r="AFX52" s="301"/>
      <c r="AFY52" s="301"/>
      <c r="AFZ52" s="301"/>
      <c r="AGA52" s="301"/>
      <c r="AGB52" s="301"/>
      <c r="AGC52" s="301"/>
      <c r="AGD52" s="301"/>
      <c r="AGE52" s="301"/>
      <c r="AGF52" s="301"/>
      <c r="AGG52" s="301"/>
      <c r="AGH52" s="301"/>
      <c r="AGI52" s="301"/>
      <c r="AGJ52" s="301"/>
      <c r="AGK52" s="301"/>
      <c r="AGL52" s="301"/>
      <c r="AGM52" s="301"/>
      <c r="AGN52" s="301"/>
      <c r="AGO52" s="301"/>
      <c r="AGP52" s="301"/>
      <c r="AGQ52" s="301"/>
      <c r="AGR52" s="301"/>
      <c r="AGS52" s="301"/>
      <c r="AGT52" s="301"/>
      <c r="AGU52" s="301"/>
      <c r="AGV52" s="301"/>
      <c r="AGW52" s="301"/>
      <c r="AGX52" s="301"/>
      <c r="AGY52" s="301"/>
      <c r="AGZ52" s="301"/>
      <c r="AHA52" s="301"/>
      <c r="AHB52" s="301"/>
      <c r="AHC52" s="301"/>
      <c r="AHD52" s="301"/>
      <c r="AHE52" s="301"/>
      <c r="AHF52" s="301"/>
      <c r="AHG52" s="301"/>
      <c r="AHH52" s="301"/>
      <c r="AHI52" s="301"/>
      <c r="AHJ52" s="301"/>
      <c r="AHK52" s="301"/>
      <c r="AHL52" s="301"/>
      <c r="AHM52" s="301"/>
      <c r="AHN52" s="301"/>
      <c r="AHO52" s="301"/>
      <c r="AHP52" s="301"/>
      <c r="AHQ52" s="301"/>
      <c r="AHR52" s="301"/>
      <c r="AHS52" s="301"/>
      <c r="AHT52" s="301"/>
      <c r="AHU52" s="301"/>
      <c r="AHV52" s="301"/>
      <c r="AHW52" s="301"/>
      <c r="AHX52" s="301"/>
      <c r="AHY52" s="301"/>
      <c r="AHZ52" s="301"/>
      <c r="AIA52" s="301"/>
      <c r="AIB52" s="301"/>
      <c r="AIC52" s="301"/>
      <c r="AID52" s="301"/>
      <c r="AIE52" s="301"/>
      <c r="AIF52" s="301"/>
      <c r="AIG52" s="301"/>
      <c r="AIH52" s="301"/>
      <c r="AII52" s="301"/>
      <c r="AIJ52" s="301"/>
      <c r="AIK52" s="301"/>
      <c r="AIL52" s="301"/>
      <c r="AIM52" s="301"/>
      <c r="AIN52" s="301"/>
      <c r="AIO52" s="301"/>
      <c r="AIP52" s="301"/>
      <c r="AIQ52" s="301"/>
      <c r="AIR52" s="301"/>
      <c r="AIS52" s="301"/>
      <c r="AIT52" s="301"/>
      <c r="AIU52" s="301"/>
      <c r="AIV52" s="301"/>
      <c r="AIW52" s="301"/>
      <c r="AIX52" s="301"/>
      <c r="AIY52" s="301"/>
      <c r="AIZ52" s="301"/>
      <c r="AJA52" s="301"/>
      <c r="AJB52" s="301"/>
      <c r="AJC52" s="301"/>
      <c r="AJD52" s="301"/>
      <c r="AJE52" s="301"/>
      <c r="AJF52" s="301"/>
      <c r="AJG52" s="301"/>
      <c r="AJH52" s="301"/>
      <c r="AJI52" s="301"/>
      <c r="AJJ52" s="301"/>
      <c r="AJK52" s="301"/>
      <c r="AJL52" s="301"/>
      <c r="AJM52" s="301"/>
      <c r="AJN52" s="301"/>
      <c r="AJO52" s="301"/>
      <c r="AJP52" s="301"/>
      <c r="AJQ52" s="301"/>
      <c r="AJR52" s="301"/>
      <c r="AJS52" s="301"/>
      <c r="AJT52" s="301"/>
      <c r="AJU52" s="301"/>
      <c r="AJV52" s="301"/>
      <c r="AJW52" s="301"/>
      <c r="AJX52" s="301"/>
      <c r="AJY52" s="301"/>
      <c r="AJZ52" s="301"/>
      <c r="AKA52" s="301"/>
      <c r="AKB52" s="301"/>
      <c r="AKC52" s="301"/>
      <c r="AKD52" s="301"/>
      <c r="AKE52" s="301"/>
      <c r="AKF52" s="301"/>
      <c r="AKG52" s="301"/>
      <c r="AKH52" s="301"/>
      <c r="AKI52" s="301"/>
      <c r="AKJ52" s="301"/>
      <c r="AKK52" s="301"/>
      <c r="AKL52" s="301"/>
      <c r="AKM52" s="301"/>
      <c r="AKN52" s="301"/>
      <c r="AKO52" s="301"/>
      <c r="AKP52" s="301"/>
      <c r="AKQ52" s="301"/>
      <c r="AKR52" s="301"/>
      <c r="AKS52" s="301"/>
      <c r="AKT52" s="301"/>
      <c r="AKU52" s="301"/>
      <c r="AKV52" s="301"/>
      <c r="AKW52" s="301"/>
      <c r="AKX52" s="301"/>
      <c r="AKY52" s="301"/>
      <c r="AKZ52" s="301"/>
      <c r="ALA52" s="301"/>
      <c r="ALB52" s="301"/>
      <c r="ALC52" s="301"/>
      <c r="ALD52" s="301"/>
      <c r="ALE52" s="301"/>
      <c r="ALF52" s="301"/>
      <c r="ALG52" s="301"/>
      <c r="ALH52" s="301"/>
      <c r="ALI52" s="301"/>
      <c r="ALJ52" s="301"/>
      <c r="ALK52" s="301"/>
      <c r="ALL52" s="301"/>
      <c r="ALM52" s="301"/>
      <c r="ALN52" s="301"/>
      <c r="ALO52" s="301"/>
      <c r="ALP52" s="301"/>
      <c r="ALQ52" s="301"/>
      <c r="ALR52" s="301"/>
      <c r="ALS52" s="301"/>
      <c r="ALT52" s="301"/>
      <c r="ALU52" s="301"/>
      <c r="ALV52" s="301"/>
      <c r="ALW52" s="301"/>
      <c r="ALX52" s="301"/>
      <c r="ALY52" s="301"/>
      <c r="ALZ52" s="301"/>
      <c r="AMA52" s="301"/>
      <c r="AMB52" s="301"/>
      <c r="AMC52" s="301"/>
      <c r="AMD52" s="301"/>
      <c r="AME52" s="301"/>
      <c r="AMF52" s="301"/>
      <c r="AMG52" s="301"/>
      <c r="AMH52" s="301"/>
      <c r="AMI52" s="301"/>
      <c r="AMJ52" s="301"/>
    </row>
    <row r="53" customFormat="false" ht="12.8" hidden="false" customHeight="false" outlineLevel="0" collapsed="false">
      <c r="A53" s="299" t="s">
        <v>224</v>
      </c>
      <c r="B53" s="310"/>
      <c r="C53" s="311" t="str">
        <f aca="false">IF(B53&gt;0,1,"")</f>
        <v/>
      </c>
      <c r="D53" s="310"/>
      <c r="E53" s="311" t="str">
        <f aca="false">IF(D53&gt;0,1,"")</f>
        <v/>
      </c>
      <c r="F53" s="310" t="n">
        <v>0</v>
      </c>
      <c r="G53" s="311" t="str">
        <f aca="false">IF(F53&gt;0,1,"")</f>
        <v/>
      </c>
      <c r="H53" s="310"/>
      <c r="I53" s="311" t="str">
        <f aca="false">IF(H53&gt;0,1,"")</f>
        <v/>
      </c>
      <c r="J53" s="326" t="str">
        <f aca="false">IF(SUM(C53,E53,G53,I53)&gt;1,"ERROR",IF(B53&gt;=1,B53*52,IF(D53&gt;=1,D53*26,IF(F53&gt;=1,F53*12,IF(H53&gt;=1,H53*4,"")))))</f>
        <v/>
      </c>
      <c r="K53" s="301"/>
      <c r="L53" s="301"/>
      <c r="M53" s="301"/>
      <c r="N53" s="301"/>
      <c r="O53" s="301"/>
      <c r="P53" s="301"/>
      <c r="Q53" s="301"/>
      <c r="R53" s="301"/>
      <c r="S53" s="301"/>
      <c r="T53" s="301"/>
      <c r="U53" s="301"/>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301"/>
      <c r="BP53" s="301"/>
      <c r="BQ53" s="301"/>
      <c r="BR53" s="301"/>
      <c r="BS53" s="301"/>
      <c r="BT53" s="301"/>
      <c r="BU53" s="301"/>
      <c r="BV53" s="301"/>
      <c r="BW53" s="301"/>
      <c r="BX53" s="301"/>
      <c r="BY53" s="301"/>
      <c r="BZ53" s="301"/>
      <c r="CA53" s="301"/>
      <c r="CB53" s="301"/>
      <c r="CC53" s="301"/>
      <c r="CD53" s="301"/>
      <c r="CE53" s="301"/>
      <c r="CF53" s="301"/>
      <c r="CG53" s="301"/>
      <c r="CH53" s="301"/>
      <c r="CI53" s="301"/>
      <c r="CJ53" s="301"/>
      <c r="CK53" s="301"/>
      <c r="CL53" s="301"/>
      <c r="CM53" s="301"/>
      <c r="CN53" s="301"/>
      <c r="CO53" s="301"/>
      <c r="CP53" s="301"/>
      <c r="CQ53" s="301"/>
      <c r="CR53" s="301"/>
      <c r="CS53" s="301"/>
      <c r="CT53" s="301"/>
      <c r="CU53" s="301"/>
      <c r="CV53" s="301"/>
      <c r="CW53" s="301"/>
      <c r="CX53" s="301"/>
      <c r="CY53" s="301"/>
      <c r="CZ53" s="301"/>
      <c r="DA53" s="301"/>
      <c r="DB53" s="301"/>
      <c r="DC53" s="301"/>
      <c r="DD53" s="301"/>
      <c r="DE53" s="301"/>
      <c r="DF53" s="301"/>
      <c r="DG53" s="301"/>
      <c r="DH53" s="301"/>
      <c r="DI53" s="301"/>
      <c r="DJ53" s="301"/>
      <c r="DK53" s="301"/>
      <c r="DL53" s="301"/>
      <c r="DM53" s="301"/>
      <c r="DN53" s="301"/>
      <c r="DO53" s="301"/>
      <c r="DP53" s="301"/>
      <c r="DQ53" s="301"/>
      <c r="DR53" s="301"/>
      <c r="DS53" s="301"/>
      <c r="DT53" s="301"/>
      <c r="DU53" s="301"/>
      <c r="DV53" s="301"/>
      <c r="DW53" s="301"/>
      <c r="DX53" s="301"/>
      <c r="DY53" s="301"/>
      <c r="DZ53" s="301"/>
      <c r="EA53" s="301"/>
      <c r="EB53" s="301"/>
      <c r="EC53" s="301"/>
      <c r="ED53" s="301"/>
      <c r="EE53" s="301"/>
      <c r="EF53" s="301"/>
      <c r="EG53" s="301"/>
      <c r="EH53" s="301"/>
      <c r="EI53" s="301"/>
      <c r="EJ53" s="301"/>
      <c r="EK53" s="301"/>
      <c r="EL53" s="301"/>
      <c r="EM53" s="301"/>
      <c r="EN53" s="301"/>
      <c r="EO53" s="301"/>
      <c r="EP53" s="301"/>
      <c r="EQ53" s="301"/>
      <c r="ER53" s="301"/>
      <c r="ES53" s="301"/>
      <c r="ET53" s="301"/>
      <c r="EU53" s="301"/>
      <c r="EV53" s="301"/>
      <c r="EW53" s="301"/>
      <c r="EX53" s="301"/>
      <c r="EY53" s="301"/>
      <c r="EZ53" s="301"/>
      <c r="FA53" s="301"/>
      <c r="FB53" s="301"/>
      <c r="FC53" s="301"/>
      <c r="FD53" s="301"/>
      <c r="FE53" s="301"/>
      <c r="FF53" s="301"/>
      <c r="FG53" s="301"/>
      <c r="FH53" s="301"/>
      <c r="FI53" s="301"/>
      <c r="FJ53" s="301"/>
      <c r="FK53" s="301"/>
      <c r="FL53" s="301"/>
      <c r="FM53" s="301"/>
      <c r="FN53" s="301"/>
      <c r="FO53" s="301"/>
      <c r="FP53" s="301"/>
      <c r="FQ53" s="301"/>
      <c r="FR53" s="301"/>
      <c r="FS53" s="301"/>
      <c r="FT53" s="301"/>
      <c r="FU53" s="301"/>
      <c r="FV53" s="301"/>
      <c r="FW53" s="301"/>
      <c r="FX53" s="301"/>
      <c r="FY53" s="301"/>
      <c r="FZ53" s="301"/>
      <c r="GA53" s="301"/>
      <c r="GB53" s="301"/>
      <c r="GC53" s="301"/>
      <c r="GD53" s="301"/>
      <c r="GE53" s="301"/>
      <c r="GF53" s="301"/>
      <c r="GG53" s="301"/>
      <c r="GH53" s="301"/>
      <c r="GI53" s="301"/>
      <c r="GJ53" s="301"/>
      <c r="GK53" s="301"/>
      <c r="GL53" s="301"/>
      <c r="GM53" s="301"/>
      <c r="GN53" s="301"/>
      <c r="GO53" s="301"/>
      <c r="GP53" s="301"/>
      <c r="GQ53" s="301"/>
      <c r="GR53" s="301"/>
      <c r="GS53" s="301"/>
      <c r="GT53" s="301"/>
      <c r="GU53" s="301"/>
      <c r="GV53" s="301"/>
      <c r="GW53" s="301"/>
      <c r="GX53" s="301"/>
      <c r="GY53" s="301"/>
      <c r="GZ53" s="301"/>
      <c r="HA53" s="301"/>
      <c r="HB53" s="301"/>
      <c r="HC53" s="301"/>
      <c r="HD53" s="301"/>
      <c r="HE53" s="301"/>
      <c r="HF53" s="301"/>
      <c r="HG53" s="301"/>
      <c r="HH53" s="301"/>
      <c r="HI53" s="301"/>
      <c r="HJ53" s="301"/>
      <c r="HK53" s="301"/>
      <c r="HL53" s="301"/>
      <c r="HM53" s="301"/>
      <c r="HN53" s="301"/>
      <c r="HO53" s="301"/>
      <c r="HP53" s="301"/>
      <c r="HQ53" s="301"/>
      <c r="HR53" s="301"/>
      <c r="HS53" s="301"/>
      <c r="HT53" s="301"/>
      <c r="HU53" s="301"/>
      <c r="HV53" s="301"/>
      <c r="HW53" s="301"/>
      <c r="HX53" s="301"/>
      <c r="HY53" s="301"/>
      <c r="HZ53" s="301"/>
      <c r="IA53" s="301"/>
      <c r="IB53" s="301"/>
      <c r="IC53" s="301"/>
      <c r="ID53" s="301"/>
      <c r="IE53" s="301"/>
      <c r="IF53" s="301"/>
      <c r="IG53" s="301"/>
      <c r="IH53" s="301"/>
      <c r="II53" s="301"/>
      <c r="IJ53" s="301"/>
      <c r="IK53" s="301"/>
      <c r="IL53" s="301"/>
      <c r="IM53" s="301"/>
      <c r="IN53" s="301"/>
      <c r="IO53" s="301"/>
      <c r="IP53" s="301"/>
      <c r="IQ53" s="301"/>
      <c r="IR53" s="301"/>
      <c r="IS53" s="301"/>
      <c r="IT53" s="301"/>
      <c r="IU53" s="301"/>
      <c r="IV53" s="301"/>
      <c r="IW53" s="301"/>
      <c r="IX53" s="301"/>
      <c r="IY53" s="301"/>
      <c r="IZ53" s="301"/>
      <c r="JA53" s="301"/>
      <c r="JB53" s="301"/>
      <c r="JC53" s="301"/>
      <c r="JD53" s="301"/>
      <c r="JE53" s="301"/>
      <c r="JF53" s="301"/>
      <c r="JG53" s="301"/>
      <c r="JH53" s="301"/>
      <c r="JI53" s="301"/>
      <c r="JJ53" s="301"/>
      <c r="JK53" s="301"/>
      <c r="JL53" s="301"/>
      <c r="JM53" s="301"/>
      <c r="JN53" s="301"/>
      <c r="JO53" s="301"/>
      <c r="JP53" s="301"/>
      <c r="JQ53" s="301"/>
      <c r="JR53" s="301"/>
      <c r="JS53" s="301"/>
      <c r="JT53" s="301"/>
      <c r="JU53" s="301"/>
      <c r="JV53" s="301"/>
      <c r="JW53" s="301"/>
      <c r="JX53" s="301"/>
      <c r="JY53" s="301"/>
      <c r="JZ53" s="301"/>
      <c r="KA53" s="301"/>
      <c r="KB53" s="301"/>
      <c r="KC53" s="301"/>
      <c r="KD53" s="301"/>
      <c r="KE53" s="301"/>
      <c r="KF53" s="301"/>
      <c r="KG53" s="301"/>
      <c r="KH53" s="301"/>
      <c r="KI53" s="301"/>
      <c r="KJ53" s="301"/>
      <c r="KK53" s="301"/>
      <c r="KL53" s="301"/>
      <c r="KM53" s="301"/>
      <c r="KN53" s="301"/>
      <c r="KO53" s="301"/>
      <c r="KP53" s="301"/>
      <c r="KQ53" s="301"/>
      <c r="KR53" s="301"/>
      <c r="KS53" s="301"/>
      <c r="KT53" s="301"/>
      <c r="KU53" s="301"/>
      <c r="KV53" s="301"/>
      <c r="KW53" s="301"/>
      <c r="KX53" s="301"/>
      <c r="KY53" s="301"/>
      <c r="KZ53" s="301"/>
      <c r="LA53" s="301"/>
      <c r="LB53" s="301"/>
      <c r="LC53" s="301"/>
      <c r="LD53" s="301"/>
      <c r="LE53" s="301"/>
      <c r="LF53" s="301"/>
      <c r="LG53" s="301"/>
      <c r="LH53" s="301"/>
      <c r="LI53" s="301"/>
      <c r="LJ53" s="301"/>
      <c r="LK53" s="301"/>
      <c r="LL53" s="301"/>
      <c r="LM53" s="301"/>
      <c r="LN53" s="301"/>
      <c r="LO53" s="301"/>
      <c r="LP53" s="301"/>
      <c r="LQ53" s="301"/>
      <c r="LR53" s="301"/>
      <c r="LS53" s="301"/>
      <c r="LT53" s="301"/>
      <c r="LU53" s="301"/>
      <c r="LV53" s="301"/>
      <c r="LW53" s="301"/>
      <c r="LX53" s="301"/>
      <c r="LY53" s="301"/>
      <c r="LZ53" s="301"/>
      <c r="MA53" s="301"/>
      <c r="MB53" s="301"/>
      <c r="MC53" s="301"/>
      <c r="MD53" s="301"/>
      <c r="ME53" s="301"/>
      <c r="MF53" s="301"/>
      <c r="MG53" s="301"/>
      <c r="MH53" s="301"/>
      <c r="MI53" s="301"/>
      <c r="MJ53" s="301"/>
      <c r="MK53" s="301"/>
      <c r="ML53" s="301"/>
      <c r="MM53" s="301"/>
      <c r="MN53" s="301"/>
      <c r="MO53" s="301"/>
      <c r="MP53" s="301"/>
      <c r="MQ53" s="301"/>
      <c r="MR53" s="301"/>
      <c r="MS53" s="301"/>
      <c r="MT53" s="301"/>
      <c r="MU53" s="301"/>
      <c r="MV53" s="301"/>
      <c r="MW53" s="301"/>
      <c r="MX53" s="301"/>
      <c r="MY53" s="301"/>
      <c r="MZ53" s="301"/>
      <c r="NA53" s="301"/>
      <c r="NB53" s="301"/>
      <c r="NC53" s="301"/>
      <c r="ND53" s="301"/>
      <c r="NE53" s="301"/>
      <c r="NF53" s="301"/>
      <c r="NG53" s="301"/>
      <c r="NH53" s="301"/>
      <c r="NI53" s="301"/>
      <c r="NJ53" s="301"/>
      <c r="NK53" s="301"/>
      <c r="NL53" s="301"/>
      <c r="NM53" s="301"/>
      <c r="NN53" s="301"/>
      <c r="NO53" s="301"/>
      <c r="NP53" s="301"/>
      <c r="NQ53" s="301"/>
      <c r="NR53" s="301"/>
      <c r="NS53" s="301"/>
      <c r="NT53" s="301"/>
      <c r="NU53" s="301"/>
      <c r="NV53" s="301"/>
      <c r="NW53" s="301"/>
      <c r="NX53" s="301"/>
      <c r="NY53" s="301"/>
      <c r="NZ53" s="301"/>
      <c r="OA53" s="301"/>
      <c r="OB53" s="301"/>
      <c r="OC53" s="301"/>
      <c r="OD53" s="301"/>
      <c r="OE53" s="301"/>
      <c r="OF53" s="301"/>
      <c r="OG53" s="301"/>
      <c r="OH53" s="301"/>
      <c r="OI53" s="301"/>
      <c r="OJ53" s="301"/>
      <c r="OK53" s="301"/>
      <c r="OL53" s="301"/>
      <c r="OM53" s="301"/>
      <c r="ON53" s="301"/>
      <c r="OO53" s="301"/>
      <c r="OP53" s="301"/>
      <c r="OQ53" s="301"/>
      <c r="OR53" s="301"/>
      <c r="OS53" s="301"/>
      <c r="OT53" s="301"/>
      <c r="OU53" s="301"/>
      <c r="OV53" s="301"/>
      <c r="OW53" s="301"/>
      <c r="OX53" s="301"/>
      <c r="OY53" s="301"/>
      <c r="OZ53" s="301"/>
      <c r="PA53" s="301"/>
      <c r="PB53" s="301"/>
      <c r="PC53" s="301"/>
      <c r="PD53" s="301"/>
      <c r="PE53" s="301"/>
      <c r="PF53" s="301"/>
      <c r="PG53" s="301"/>
      <c r="PH53" s="301"/>
      <c r="PI53" s="301"/>
      <c r="PJ53" s="301"/>
      <c r="PK53" s="301"/>
      <c r="PL53" s="301"/>
      <c r="PM53" s="301"/>
      <c r="PN53" s="301"/>
      <c r="PO53" s="301"/>
      <c r="PP53" s="301"/>
      <c r="PQ53" s="301"/>
      <c r="PR53" s="301"/>
      <c r="PS53" s="301"/>
      <c r="PT53" s="301"/>
      <c r="PU53" s="301"/>
      <c r="PV53" s="301"/>
      <c r="PW53" s="301"/>
      <c r="PX53" s="301"/>
      <c r="PY53" s="301"/>
      <c r="PZ53" s="301"/>
      <c r="QA53" s="301"/>
      <c r="QB53" s="301"/>
      <c r="QC53" s="301"/>
      <c r="QD53" s="301"/>
      <c r="QE53" s="301"/>
      <c r="QF53" s="301"/>
      <c r="QG53" s="301"/>
      <c r="QH53" s="301"/>
      <c r="QI53" s="301"/>
      <c r="QJ53" s="301"/>
      <c r="QK53" s="301"/>
      <c r="QL53" s="301"/>
      <c r="QM53" s="301"/>
      <c r="QN53" s="301"/>
      <c r="QO53" s="301"/>
      <c r="QP53" s="301"/>
      <c r="QQ53" s="301"/>
      <c r="QR53" s="301"/>
      <c r="QS53" s="301"/>
      <c r="QT53" s="301"/>
      <c r="QU53" s="301"/>
      <c r="QV53" s="301"/>
      <c r="QW53" s="301"/>
      <c r="QX53" s="301"/>
      <c r="QY53" s="301"/>
      <c r="QZ53" s="301"/>
      <c r="RA53" s="301"/>
      <c r="RB53" s="301"/>
      <c r="RC53" s="301"/>
      <c r="RD53" s="301"/>
      <c r="RE53" s="301"/>
      <c r="RF53" s="301"/>
      <c r="RG53" s="301"/>
      <c r="RH53" s="301"/>
      <c r="RI53" s="301"/>
      <c r="RJ53" s="301"/>
      <c r="RK53" s="301"/>
      <c r="RL53" s="301"/>
      <c r="RM53" s="301"/>
      <c r="RN53" s="301"/>
      <c r="RO53" s="301"/>
      <c r="RP53" s="301"/>
      <c r="RQ53" s="301"/>
      <c r="RR53" s="301"/>
      <c r="RS53" s="301"/>
      <c r="RT53" s="301"/>
      <c r="RU53" s="301"/>
      <c r="RV53" s="301"/>
      <c r="RW53" s="301"/>
      <c r="RX53" s="301"/>
      <c r="RY53" s="301"/>
      <c r="RZ53" s="301"/>
      <c r="SA53" s="301"/>
      <c r="SB53" s="301"/>
      <c r="SC53" s="301"/>
      <c r="SD53" s="301"/>
      <c r="SE53" s="301"/>
      <c r="SF53" s="301"/>
      <c r="SG53" s="301"/>
      <c r="SH53" s="301"/>
      <c r="SI53" s="301"/>
      <c r="SJ53" s="301"/>
      <c r="SK53" s="301"/>
      <c r="SL53" s="301"/>
      <c r="SM53" s="301"/>
      <c r="SN53" s="301"/>
      <c r="SO53" s="301"/>
      <c r="SP53" s="301"/>
      <c r="SQ53" s="301"/>
      <c r="SR53" s="301"/>
      <c r="SS53" s="301"/>
      <c r="ST53" s="301"/>
      <c r="SU53" s="301"/>
      <c r="SV53" s="301"/>
      <c r="SW53" s="301"/>
      <c r="SX53" s="301"/>
      <c r="SY53" s="301"/>
      <c r="SZ53" s="301"/>
      <c r="TA53" s="301"/>
      <c r="TB53" s="301"/>
      <c r="TC53" s="301"/>
      <c r="TD53" s="301"/>
      <c r="TE53" s="301"/>
      <c r="TF53" s="301"/>
      <c r="TG53" s="301"/>
      <c r="TH53" s="301"/>
      <c r="TI53" s="301"/>
      <c r="TJ53" s="301"/>
      <c r="TK53" s="301"/>
      <c r="TL53" s="301"/>
      <c r="TM53" s="301"/>
      <c r="TN53" s="301"/>
      <c r="TO53" s="301"/>
      <c r="TP53" s="301"/>
      <c r="TQ53" s="301"/>
      <c r="TR53" s="301"/>
      <c r="TS53" s="301"/>
      <c r="TT53" s="301"/>
      <c r="TU53" s="301"/>
      <c r="TV53" s="301"/>
      <c r="TW53" s="301"/>
      <c r="TX53" s="301"/>
      <c r="TY53" s="301"/>
      <c r="TZ53" s="301"/>
      <c r="UA53" s="301"/>
      <c r="UB53" s="301"/>
      <c r="UC53" s="301"/>
      <c r="UD53" s="301"/>
      <c r="UE53" s="301"/>
      <c r="UF53" s="301"/>
      <c r="UG53" s="301"/>
      <c r="UH53" s="301"/>
      <c r="UI53" s="301"/>
      <c r="UJ53" s="301"/>
      <c r="UK53" s="301"/>
      <c r="UL53" s="301"/>
      <c r="UM53" s="301"/>
      <c r="UN53" s="301"/>
      <c r="UO53" s="301"/>
      <c r="UP53" s="301"/>
      <c r="UQ53" s="301"/>
      <c r="UR53" s="301"/>
      <c r="US53" s="301"/>
      <c r="UT53" s="301"/>
      <c r="UU53" s="301"/>
      <c r="UV53" s="301"/>
      <c r="UW53" s="301"/>
      <c r="UX53" s="301"/>
      <c r="UY53" s="301"/>
      <c r="UZ53" s="301"/>
      <c r="VA53" s="301"/>
      <c r="VB53" s="301"/>
      <c r="VC53" s="301"/>
      <c r="VD53" s="301"/>
      <c r="VE53" s="301"/>
      <c r="VF53" s="301"/>
      <c r="VG53" s="301"/>
      <c r="VH53" s="301"/>
      <c r="VI53" s="301"/>
      <c r="VJ53" s="301"/>
      <c r="VK53" s="301"/>
      <c r="VL53" s="301"/>
      <c r="VM53" s="301"/>
      <c r="VN53" s="301"/>
      <c r="VO53" s="301"/>
      <c r="VP53" s="301"/>
      <c r="VQ53" s="301"/>
      <c r="VR53" s="301"/>
      <c r="VS53" s="301"/>
      <c r="VT53" s="301"/>
      <c r="VU53" s="301"/>
      <c r="VV53" s="301"/>
      <c r="VW53" s="301"/>
      <c r="VX53" s="301"/>
      <c r="VY53" s="301"/>
      <c r="VZ53" s="301"/>
      <c r="WA53" s="301"/>
      <c r="WB53" s="301"/>
      <c r="WC53" s="301"/>
      <c r="WD53" s="301"/>
      <c r="WE53" s="301"/>
      <c r="WF53" s="301"/>
      <c r="WG53" s="301"/>
      <c r="WH53" s="301"/>
      <c r="WI53" s="301"/>
      <c r="WJ53" s="301"/>
      <c r="WK53" s="301"/>
      <c r="WL53" s="301"/>
      <c r="WM53" s="301"/>
      <c r="WN53" s="301"/>
      <c r="WO53" s="301"/>
      <c r="WP53" s="301"/>
      <c r="WQ53" s="301"/>
      <c r="WR53" s="301"/>
      <c r="WS53" s="301"/>
      <c r="WT53" s="301"/>
      <c r="WU53" s="301"/>
      <c r="WV53" s="301"/>
      <c r="WW53" s="301"/>
      <c r="WX53" s="301"/>
      <c r="WY53" s="301"/>
      <c r="WZ53" s="301"/>
      <c r="XA53" s="301"/>
      <c r="XB53" s="301"/>
      <c r="XC53" s="301"/>
      <c r="XD53" s="301"/>
      <c r="XE53" s="301"/>
      <c r="XF53" s="301"/>
      <c r="XG53" s="301"/>
      <c r="XH53" s="301"/>
      <c r="XI53" s="301"/>
      <c r="XJ53" s="301"/>
      <c r="XK53" s="301"/>
      <c r="XL53" s="301"/>
      <c r="XM53" s="301"/>
      <c r="XN53" s="301"/>
      <c r="XO53" s="301"/>
      <c r="XP53" s="301"/>
      <c r="XQ53" s="301"/>
      <c r="XR53" s="301"/>
      <c r="XS53" s="301"/>
      <c r="XT53" s="301"/>
      <c r="XU53" s="301"/>
      <c r="XV53" s="301"/>
      <c r="XW53" s="301"/>
      <c r="XX53" s="301"/>
      <c r="XY53" s="301"/>
      <c r="XZ53" s="301"/>
      <c r="YA53" s="301"/>
      <c r="YB53" s="301"/>
      <c r="YC53" s="301"/>
      <c r="YD53" s="301"/>
      <c r="YE53" s="301"/>
      <c r="YF53" s="301"/>
      <c r="YG53" s="301"/>
      <c r="YH53" s="301"/>
      <c r="YI53" s="301"/>
      <c r="YJ53" s="301"/>
      <c r="YK53" s="301"/>
      <c r="YL53" s="301"/>
      <c r="YM53" s="301"/>
      <c r="YN53" s="301"/>
      <c r="YO53" s="301"/>
      <c r="YP53" s="301"/>
      <c r="YQ53" s="301"/>
      <c r="YR53" s="301"/>
      <c r="YS53" s="301"/>
      <c r="YT53" s="301"/>
      <c r="YU53" s="301"/>
      <c r="YV53" s="301"/>
      <c r="YW53" s="301"/>
      <c r="YX53" s="301"/>
      <c r="YY53" s="301"/>
      <c r="YZ53" s="301"/>
      <c r="ZA53" s="301"/>
      <c r="ZB53" s="301"/>
      <c r="ZC53" s="301"/>
      <c r="ZD53" s="301"/>
      <c r="ZE53" s="301"/>
      <c r="ZF53" s="301"/>
      <c r="ZG53" s="301"/>
      <c r="ZH53" s="301"/>
      <c r="ZI53" s="301"/>
      <c r="ZJ53" s="301"/>
      <c r="ZK53" s="301"/>
      <c r="ZL53" s="301"/>
      <c r="ZM53" s="301"/>
      <c r="ZN53" s="301"/>
      <c r="ZO53" s="301"/>
      <c r="ZP53" s="301"/>
      <c r="ZQ53" s="301"/>
      <c r="ZR53" s="301"/>
      <c r="ZS53" s="301"/>
      <c r="ZT53" s="301"/>
      <c r="ZU53" s="301"/>
      <c r="ZV53" s="301"/>
      <c r="ZW53" s="301"/>
      <c r="ZX53" s="301"/>
      <c r="ZY53" s="301"/>
      <c r="ZZ53" s="301"/>
      <c r="AAA53" s="301"/>
      <c r="AAB53" s="301"/>
      <c r="AAC53" s="301"/>
      <c r="AAD53" s="301"/>
      <c r="AAE53" s="301"/>
      <c r="AAF53" s="301"/>
      <c r="AAG53" s="301"/>
      <c r="AAH53" s="301"/>
      <c r="AAI53" s="301"/>
      <c r="AAJ53" s="301"/>
      <c r="AAK53" s="301"/>
      <c r="AAL53" s="301"/>
      <c r="AAM53" s="301"/>
      <c r="AAN53" s="301"/>
      <c r="AAO53" s="301"/>
      <c r="AAP53" s="301"/>
      <c r="AAQ53" s="301"/>
      <c r="AAR53" s="301"/>
      <c r="AAS53" s="301"/>
      <c r="AAT53" s="301"/>
      <c r="AAU53" s="301"/>
      <c r="AAV53" s="301"/>
      <c r="AAW53" s="301"/>
      <c r="AAX53" s="301"/>
      <c r="AAY53" s="301"/>
      <c r="AAZ53" s="301"/>
      <c r="ABA53" s="301"/>
      <c r="ABB53" s="301"/>
      <c r="ABC53" s="301"/>
      <c r="ABD53" s="301"/>
      <c r="ABE53" s="301"/>
      <c r="ABF53" s="301"/>
      <c r="ABG53" s="301"/>
      <c r="ABH53" s="301"/>
      <c r="ABI53" s="301"/>
      <c r="ABJ53" s="301"/>
      <c r="ABK53" s="301"/>
      <c r="ABL53" s="301"/>
      <c r="ABM53" s="301"/>
      <c r="ABN53" s="301"/>
      <c r="ABO53" s="301"/>
      <c r="ABP53" s="301"/>
      <c r="ABQ53" s="301"/>
      <c r="ABR53" s="301"/>
      <c r="ABS53" s="301"/>
      <c r="ABT53" s="301"/>
      <c r="ABU53" s="301"/>
      <c r="ABV53" s="301"/>
      <c r="ABW53" s="301"/>
      <c r="ABX53" s="301"/>
      <c r="ABY53" s="301"/>
      <c r="ABZ53" s="301"/>
      <c r="ACA53" s="301"/>
      <c r="ACB53" s="301"/>
      <c r="ACC53" s="301"/>
      <c r="ACD53" s="301"/>
      <c r="ACE53" s="301"/>
      <c r="ACF53" s="301"/>
      <c r="ACG53" s="301"/>
      <c r="ACH53" s="301"/>
      <c r="ACI53" s="301"/>
      <c r="ACJ53" s="301"/>
      <c r="ACK53" s="301"/>
      <c r="ACL53" s="301"/>
      <c r="ACM53" s="301"/>
      <c r="ACN53" s="301"/>
      <c r="ACO53" s="301"/>
      <c r="ACP53" s="301"/>
      <c r="ACQ53" s="301"/>
      <c r="ACR53" s="301"/>
      <c r="ACS53" s="301"/>
      <c r="ACT53" s="301"/>
      <c r="ACU53" s="301"/>
      <c r="ACV53" s="301"/>
      <c r="ACW53" s="301"/>
      <c r="ACX53" s="301"/>
      <c r="ACY53" s="301"/>
      <c r="ACZ53" s="301"/>
      <c r="ADA53" s="301"/>
      <c r="ADB53" s="301"/>
      <c r="ADC53" s="301"/>
      <c r="ADD53" s="301"/>
      <c r="ADE53" s="301"/>
      <c r="ADF53" s="301"/>
      <c r="ADG53" s="301"/>
      <c r="ADH53" s="301"/>
      <c r="ADI53" s="301"/>
      <c r="ADJ53" s="301"/>
      <c r="ADK53" s="301"/>
      <c r="ADL53" s="301"/>
      <c r="ADM53" s="301"/>
      <c r="ADN53" s="301"/>
      <c r="ADO53" s="301"/>
      <c r="ADP53" s="301"/>
      <c r="ADQ53" s="301"/>
      <c r="ADR53" s="301"/>
      <c r="ADS53" s="301"/>
      <c r="ADT53" s="301"/>
      <c r="ADU53" s="301"/>
      <c r="ADV53" s="301"/>
      <c r="ADW53" s="301"/>
      <c r="ADX53" s="301"/>
      <c r="ADY53" s="301"/>
      <c r="ADZ53" s="301"/>
      <c r="AEA53" s="301"/>
      <c r="AEB53" s="301"/>
      <c r="AEC53" s="301"/>
      <c r="AED53" s="301"/>
      <c r="AEE53" s="301"/>
      <c r="AEF53" s="301"/>
      <c r="AEG53" s="301"/>
      <c r="AEH53" s="301"/>
      <c r="AEI53" s="301"/>
      <c r="AEJ53" s="301"/>
      <c r="AEK53" s="301"/>
      <c r="AEL53" s="301"/>
      <c r="AEM53" s="301"/>
      <c r="AEN53" s="301"/>
      <c r="AEO53" s="301"/>
      <c r="AEP53" s="301"/>
      <c r="AEQ53" s="301"/>
      <c r="AER53" s="301"/>
      <c r="AES53" s="301"/>
      <c r="AET53" s="301"/>
      <c r="AEU53" s="301"/>
      <c r="AEV53" s="301"/>
      <c r="AEW53" s="301"/>
      <c r="AEX53" s="301"/>
      <c r="AEY53" s="301"/>
      <c r="AEZ53" s="301"/>
      <c r="AFA53" s="301"/>
      <c r="AFB53" s="301"/>
      <c r="AFC53" s="301"/>
      <c r="AFD53" s="301"/>
      <c r="AFE53" s="301"/>
      <c r="AFF53" s="301"/>
      <c r="AFG53" s="301"/>
      <c r="AFH53" s="301"/>
      <c r="AFI53" s="301"/>
      <c r="AFJ53" s="301"/>
      <c r="AFK53" s="301"/>
      <c r="AFL53" s="301"/>
      <c r="AFM53" s="301"/>
      <c r="AFN53" s="301"/>
      <c r="AFO53" s="301"/>
      <c r="AFP53" s="301"/>
      <c r="AFQ53" s="301"/>
      <c r="AFR53" s="301"/>
      <c r="AFS53" s="301"/>
      <c r="AFT53" s="301"/>
      <c r="AFU53" s="301"/>
      <c r="AFV53" s="301"/>
      <c r="AFW53" s="301"/>
      <c r="AFX53" s="301"/>
      <c r="AFY53" s="301"/>
      <c r="AFZ53" s="301"/>
      <c r="AGA53" s="301"/>
      <c r="AGB53" s="301"/>
      <c r="AGC53" s="301"/>
      <c r="AGD53" s="301"/>
      <c r="AGE53" s="301"/>
      <c r="AGF53" s="301"/>
      <c r="AGG53" s="301"/>
      <c r="AGH53" s="301"/>
      <c r="AGI53" s="301"/>
      <c r="AGJ53" s="301"/>
      <c r="AGK53" s="301"/>
      <c r="AGL53" s="301"/>
      <c r="AGM53" s="301"/>
      <c r="AGN53" s="301"/>
      <c r="AGO53" s="301"/>
      <c r="AGP53" s="301"/>
      <c r="AGQ53" s="301"/>
      <c r="AGR53" s="301"/>
      <c r="AGS53" s="301"/>
      <c r="AGT53" s="301"/>
      <c r="AGU53" s="301"/>
      <c r="AGV53" s="301"/>
      <c r="AGW53" s="301"/>
      <c r="AGX53" s="301"/>
      <c r="AGY53" s="301"/>
      <c r="AGZ53" s="301"/>
      <c r="AHA53" s="301"/>
      <c r="AHB53" s="301"/>
      <c r="AHC53" s="301"/>
      <c r="AHD53" s="301"/>
      <c r="AHE53" s="301"/>
      <c r="AHF53" s="301"/>
      <c r="AHG53" s="301"/>
      <c r="AHH53" s="301"/>
      <c r="AHI53" s="301"/>
      <c r="AHJ53" s="301"/>
      <c r="AHK53" s="301"/>
      <c r="AHL53" s="301"/>
      <c r="AHM53" s="301"/>
      <c r="AHN53" s="301"/>
      <c r="AHO53" s="301"/>
      <c r="AHP53" s="301"/>
      <c r="AHQ53" s="301"/>
      <c r="AHR53" s="301"/>
      <c r="AHS53" s="301"/>
      <c r="AHT53" s="301"/>
      <c r="AHU53" s="301"/>
      <c r="AHV53" s="301"/>
      <c r="AHW53" s="301"/>
      <c r="AHX53" s="301"/>
      <c r="AHY53" s="301"/>
      <c r="AHZ53" s="301"/>
      <c r="AIA53" s="301"/>
      <c r="AIB53" s="301"/>
      <c r="AIC53" s="301"/>
      <c r="AID53" s="301"/>
      <c r="AIE53" s="301"/>
      <c r="AIF53" s="301"/>
      <c r="AIG53" s="301"/>
      <c r="AIH53" s="301"/>
      <c r="AII53" s="301"/>
      <c r="AIJ53" s="301"/>
      <c r="AIK53" s="301"/>
      <c r="AIL53" s="301"/>
      <c r="AIM53" s="301"/>
      <c r="AIN53" s="301"/>
      <c r="AIO53" s="301"/>
      <c r="AIP53" s="301"/>
      <c r="AIQ53" s="301"/>
      <c r="AIR53" s="301"/>
      <c r="AIS53" s="301"/>
      <c r="AIT53" s="301"/>
      <c r="AIU53" s="301"/>
      <c r="AIV53" s="301"/>
      <c r="AIW53" s="301"/>
      <c r="AIX53" s="301"/>
      <c r="AIY53" s="301"/>
      <c r="AIZ53" s="301"/>
      <c r="AJA53" s="301"/>
      <c r="AJB53" s="301"/>
      <c r="AJC53" s="301"/>
      <c r="AJD53" s="301"/>
      <c r="AJE53" s="301"/>
      <c r="AJF53" s="301"/>
      <c r="AJG53" s="301"/>
      <c r="AJH53" s="301"/>
      <c r="AJI53" s="301"/>
      <c r="AJJ53" s="301"/>
      <c r="AJK53" s="301"/>
      <c r="AJL53" s="301"/>
      <c r="AJM53" s="301"/>
      <c r="AJN53" s="301"/>
      <c r="AJO53" s="301"/>
      <c r="AJP53" s="301"/>
      <c r="AJQ53" s="301"/>
      <c r="AJR53" s="301"/>
      <c r="AJS53" s="301"/>
      <c r="AJT53" s="301"/>
      <c r="AJU53" s="301"/>
      <c r="AJV53" s="301"/>
      <c r="AJW53" s="301"/>
      <c r="AJX53" s="301"/>
      <c r="AJY53" s="301"/>
      <c r="AJZ53" s="301"/>
      <c r="AKA53" s="301"/>
      <c r="AKB53" s="301"/>
      <c r="AKC53" s="301"/>
      <c r="AKD53" s="301"/>
      <c r="AKE53" s="301"/>
      <c r="AKF53" s="301"/>
      <c r="AKG53" s="301"/>
      <c r="AKH53" s="301"/>
      <c r="AKI53" s="301"/>
      <c r="AKJ53" s="301"/>
      <c r="AKK53" s="301"/>
      <c r="AKL53" s="301"/>
      <c r="AKM53" s="301"/>
      <c r="AKN53" s="301"/>
      <c r="AKO53" s="301"/>
      <c r="AKP53" s="301"/>
      <c r="AKQ53" s="301"/>
      <c r="AKR53" s="301"/>
      <c r="AKS53" s="301"/>
      <c r="AKT53" s="301"/>
      <c r="AKU53" s="301"/>
      <c r="AKV53" s="301"/>
      <c r="AKW53" s="301"/>
      <c r="AKX53" s="301"/>
      <c r="AKY53" s="301"/>
      <c r="AKZ53" s="301"/>
      <c r="ALA53" s="301"/>
      <c r="ALB53" s="301"/>
      <c r="ALC53" s="301"/>
      <c r="ALD53" s="301"/>
      <c r="ALE53" s="301"/>
      <c r="ALF53" s="301"/>
      <c r="ALG53" s="301"/>
      <c r="ALH53" s="301"/>
      <c r="ALI53" s="301"/>
      <c r="ALJ53" s="301"/>
      <c r="ALK53" s="301"/>
      <c r="ALL53" s="301"/>
      <c r="ALM53" s="301"/>
      <c r="ALN53" s="301"/>
      <c r="ALO53" s="301"/>
      <c r="ALP53" s="301"/>
      <c r="ALQ53" s="301"/>
      <c r="ALR53" s="301"/>
      <c r="ALS53" s="301"/>
      <c r="ALT53" s="301"/>
      <c r="ALU53" s="301"/>
      <c r="ALV53" s="301"/>
      <c r="ALW53" s="301"/>
      <c r="ALX53" s="301"/>
      <c r="ALY53" s="301"/>
      <c r="ALZ53" s="301"/>
      <c r="AMA53" s="301"/>
      <c r="AMB53" s="301"/>
      <c r="AMC53" s="301"/>
      <c r="AMD53" s="301"/>
      <c r="AME53" s="301"/>
      <c r="AMF53" s="301"/>
      <c r="AMG53" s="301"/>
      <c r="AMH53" s="301"/>
      <c r="AMI53" s="301"/>
      <c r="AMJ53" s="301"/>
    </row>
    <row r="54" customFormat="false" ht="12.8" hidden="false" customHeight="false" outlineLevel="0" collapsed="false">
      <c r="A54" s="182" t="s">
        <v>225</v>
      </c>
      <c r="B54" s="310"/>
      <c r="C54" s="311" t="str">
        <f aca="false">IF(B54&gt;0,1,"")</f>
        <v/>
      </c>
      <c r="D54" s="310"/>
      <c r="E54" s="311" t="str">
        <f aca="false">IF(D54&gt;0,1,"")</f>
        <v/>
      </c>
      <c r="F54" s="310" t="str">
        <f aca="false">IF(M11="no","0",SUM(Worksheet!N10:N16))</f>
        <v>0</v>
      </c>
      <c r="G54" s="311" t="n">
        <f aca="false">IF(F54&gt;0,1,"")</f>
        <v>1</v>
      </c>
      <c r="H54" s="310"/>
      <c r="I54" s="311" t="str">
        <f aca="false">IF(H54&gt;0,1,"")</f>
        <v/>
      </c>
      <c r="J54" s="326" t="n">
        <f aca="false">IF(SUM(C54,E54,G54,I54)&gt;1,"ERROR",IF(B54&gt;=1,B54*52,IF(D54&gt;=1,D54*26,IF(F54&gt;=1,F54*12,IF(H54&gt;=1,H54*4,"")))))</f>
        <v>0</v>
      </c>
    </row>
    <row r="55" customFormat="false" ht="12.8" hidden="false" customHeight="false" outlineLevel="0" collapsed="false">
      <c r="A55" s="327" t="s">
        <v>203</v>
      </c>
      <c r="B55" s="328" t="str">
        <f aca="false">IF(SUM(B50:B53),SUM(B50:B53),"")</f>
        <v/>
      </c>
      <c r="C55" s="329"/>
      <c r="D55" s="328" t="str">
        <f aca="false">IF(SUM(D50:D53),SUM(D50:D53),"")</f>
        <v/>
      </c>
      <c r="E55" s="329"/>
      <c r="F55" s="328" t="str">
        <f aca="false">IF(SUM(F50:F53),SUM(F50:F53),"")</f>
        <v/>
      </c>
      <c r="G55" s="329"/>
      <c r="H55" s="328" t="str">
        <f aca="false">IF(SUM(H50:H53),SUM(H50:H53),"")</f>
        <v/>
      </c>
      <c r="I55" s="329"/>
      <c r="J55" s="328" t="str">
        <f aca="false">IF(SUM(J50:J54),SUM(J50:J54),"")</f>
        <v/>
      </c>
      <c r="K55" s="329"/>
      <c r="L55" s="301"/>
      <c r="M55" s="301"/>
      <c r="N55" s="301"/>
      <c r="O55" s="301"/>
      <c r="P55" s="301"/>
      <c r="Q55" s="301"/>
      <c r="R55" s="301"/>
      <c r="S55" s="301"/>
      <c r="T55" s="301"/>
      <c r="U55" s="301"/>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301"/>
      <c r="BP55" s="301"/>
      <c r="BQ55" s="301"/>
      <c r="BR55" s="301"/>
      <c r="BS55" s="301"/>
      <c r="BT55" s="301"/>
      <c r="BU55" s="301"/>
      <c r="BV55" s="301"/>
      <c r="BW55" s="301"/>
      <c r="BX55" s="301"/>
      <c r="BY55" s="301"/>
      <c r="BZ55" s="301"/>
      <c r="CA55" s="301"/>
      <c r="CB55" s="301"/>
      <c r="CC55" s="301"/>
      <c r="CD55" s="301"/>
      <c r="CE55" s="301"/>
      <c r="CF55" s="301"/>
      <c r="CG55" s="301"/>
      <c r="CH55" s="301"/>
      <c r="CI55" s="301"/>
      <c r="CJ55" s="301"/>
      <c r="CK55" s="301"/>
      <c r="CL55" s="301"/>
      <c r="CM55" s="301"/>
      <c r="CN55" s="301"/>
      <c r="CO55" s="301"/>
      <c r="CP55" s="301"/>
      <c r="CQ55" s="301"/>
      <c r="CR55" s="301"/>
      <c r="CS55" s="301"/>
      <c r="CT55" s="301"/>
      <c r="CU55" s="301"/>
      <c r="CV55" s="301"/>
      <c r="CW55" s="301"/>
      <c r="CX55" s="301"/>
      <c r="CY55" s="301"/>
      <c r="CZ55" s="301"/>
      <c r="DA55" s="301"/>
      <c r="DB55" s="301"/>
      <c r="DC55" s="301"/>
      <c r="DD55" s="301"/>
      <c r="DE55" s="301"/>
      <c r="DF55" s="301"/>
      <c r="DG55" s="301"/>
      <c r="DH55" s="301"/>
      <c r="DI55" s="301"/>
      <c r="DJ55" s="301"/>
      <c r="DK55" s="301"/>
      <c r="DL55" s="301"/>
      <c r="DM55" s="301"/>
      <c r="DN55" s="301"/>
      <c r="DO55" s="301"/>
      <c r="DP55" s="301"/>
      <c r="DQ55" s="301"/>
      <c r="DR55" s="301"/>
      <c r="DS55" s="301"/>
      <c r="DT55" s="301"/>
      <c r="DU55" s="301"/>
      <c r="DV55" s="301"/>
      <c r="DW55" s="301"/>
      <c r="DX55" s="301"/>
      <c r="DY55" s="301"/>
      <c r="DZ55" s="301"/>
      <c r="EA55" s="301"/>
      <c r="EB55" s="301"/>
      <c r="EC55" s="301"/>
      <c r="ED55" s="301"/>
      <c r="EE55" s="301"/>
      <c r="EF55" s="301"/>
      <c r="EG55" s="301"/>
      <c r="EH55" s="301"/>
      <c r="EI55" s="301"/>
      <c r="EJ55" s="301"/>
      <c r="EK55" s="301"/>
      <c r="EL55" s="301"/>
      <c r="EM55" s="301"/>
      <c r="EN55" s="301"/>
      <c r="EO55" s="301"/>
      <c r="EP55" s="301"/>
      <c r="EQ55" s="301"/>
      <c r="ER55" s="301"/>
      <c r="ES55" s="301"/>
      <c r="ET55" s="301"/>
      <c r="EU55" s="301"/>
      <c r="EV55" s="301"/>
      <c r="EW55" s="301"/>
      <c r="EX55" s="301"/>
      <c r="EY55" s="301"/>
      <c r="EZ55" s="301"/>
      <c r="FA55" s="301"/>
      <c r="FB55" s="301"/>
      <c r="FC55" s="301"/>
      <c r="FD55" s="301"/>
      <c r="FE55" s="301"/>
      <c r="FF55" s="301"/>
      <c r="FG55" s="301"/>
      <c r="FH55" s="301"/>
      <c r="FI55" s="301"/>
      <c r="FJ55" s="301"/>
      <c r="FK55" s="301"/>
      <c r="FL55" s="301"/>
      <c r="FM55" s="301"/>
      <c r="FN55" s="301"/>
      <c r="FO55" s="301"/>
      <c r="FP55" s="301"/>
      <c r="FQ55" s="301"/>
      <c r="FR55" s="301"/>
      <c r="FS55" s="301"/>
      <c r="FT55" s="301"/>
      <c r="FU55" s="301"/>
      <c r="FV55" s="301"/>
      <c r="FW55" s="301"/>
      <c r="FX55" s="301"/>
      <c r="FY55" s="301"/>
      <c r="FZ55" s="301"/>
      <c r="GA55" s="301"/>
      <c r="GB55" s="301"/>
      <c r="GC55" s="301"/>
      <c r="GD55" s="301"/>
      <c r="GE55" s="301"/>
      <c r="GF55" s="301"/>
      <c r="GG55" s="301"/>
      <c r="GH55" s="301"/>
      <c r="GI55" s="301"/>
      <c r="GJ55" s="301"/>
      <c r="GK55" s="301"/>
      <c r="GL55" s="301"/>
      <c r="GM55" s="301"/>
      <c r="GN55" s="301"/>
      <c r="GO55" s="301"/>
      <c r="GP55" s="301"/>
      <c r="GQ55" s="301"/>
      <c r="GR55" s="301"/>
      <c r="GS55" s="301"/>
      <c r="GT55" s="301"/>
      <c r="GU55" s="301"/>
      <c r="GV55" s="301"/>
      <c r="GW55" s="301"/>
      <c r="GX55" s="301"/>
      <c r="GY55" s="301"/>
      <c r="GZ55" s="301"/>
      <c r="HA55" s="301"/>
      <c r="HB55" s="301"/>
      <c r="HC55" s="301"/>
      <c r="HD55" s="301"/>
      <c r="HE55" s="301"/>
      <c r="HF55" s="301"/>
      <c r="HG55" s="301"/>
      <c r="HH55" s="301"/>
      <c r="HI55" s="301"/>
      <c r="HJ55" s="301"/>
      <c r="HK55" s="301"/>
      <c r="HL55" s="301"/>
      <c r="HM55" s="301"/>
      <c r="HN55" s="301"/>
      <c r="HO55" s="301"/>
      <c r="HP55" s="301"/>
      <c r="HQ55" s="301"/>
      <c r="HR55" s="301"/>
      <c r="HS55" s="301"/>
      <c r="HT55" s="301"/>
      <c r="HU55" s="301"/>
      <c r="HV55" s="301"/>
      <c r="HW55" s="301"/>
      <c r="HX55" s="301"/>
      <c r="HY55" s="301"/>
      <c r="HZ55" s="301"/>
      <c r="IA55" s="301"/>
      <c r="IB55" s="301"/>
      <c r="IC55" s="301"/>
      <c r="ID55" s="301"/>
      <c r="IE55" s="301"/>
      <c r="IF55" s="301"/>
      <c r="IG55" s="301"/>
      <c r="IH55" s="301"/>
      <c r="II55" s="301"/>
      <c r="IJ55" s="301"/>
      <c r="IK55" s="301"/>
      <c r="IL55" s="301"/>
      <c r="IM55" s="301"/>
      <c r="IN55" s="301"/>
      <c r="IO55" s="301"/>
      <c r="IP55" s="301"/>
      <c r="IQ55" s="301"/>
      <c r="IR55" s="301"/>
      <c r="IS55" s="301"/>
      <c r="IT55" s="301"/>
      <c r="IU55" s="301"/>
      <c r="IV55" s="301"/>
      <c r="IW55" s="301"/>
      <c r="IX55" s="301"/>
      <c r="IY55" s="301"/>
      <c r="IZ55" s="301"/>
      <c r="JA55" s="301"/>
      <c r="JB55" s="301"/>
      <c r="JC55" s="301"/>
      <c r="JD55" s="301"/>
      <c r="JE55" s="301"/>
      <c r="JF55" s="301"/>
      <c r="JG55" s="301"/>
      <c r="JH55" s="301"/>
      <c r="JI55" s="301"/>
      <c r="JJ55" s="301"/>
      <c r="JK55" s="301"/>
      <c r="JL55" s="301"/>
      <c r="JM55" s="301"/>
      <c r="JN55" s="301"/>
      <c r="JO55" s="301"/>
      <c r="JP55" s="301"/>
      <c r="JQ55" s="301"/>
      <c r="JR55" s="301"/>
      <c r="JS55" s="301"/>
      <c r="JT55" s="301"/>
      <c r="JU55" s="301"/>
      <c r="JV55" s="301"/>
      <c r="JW55" s="301"/>
      <c r="JX55" s="301"/>
      <c r="JY55" s="301"/>
      <c r="JZ55" s="301"/>
      <c r="KA55" s="301"/>
      <c r="KB55" s="301"/>
      <c r="KC55" s="301"/>
      <c r="KD55" s="301"/>
      <c r="KE55" s="301"/>
      <c r="KF55" s="301"/>
      <c r="KG55" s="301"/>
      <c r="KH55" s="301"/>
      <c r="KI55" s="301"/>
      <c r="KJ55" s="301"/>
      <c r="KK55" s="301"/>
      <c r="KL55" s="301"/>
      <c r="KM55" s="301"/>
      <c r="KN55" s="301"/>
      <c r="KO55" s="301"/>
      <c r="KP55" s="301"/>
      <c r="KQ55" s="301"/>
      <c r="KR55" s="301"/>
      <c r="KS55" s="301"/>
      <c r="KT55" s="301"/>
      <c r="KU55" s="301"/>
      <c r="KV55" s="301"/>
      <c r="KW55" s="301"/>
      <c r="KX55" s="301"/>
      <c r="KY55" s="301"/>
      <c r="KZ55" s="301"/>
      <c r="LA55" s="301"/>
      <c r="LB55" s="301"/>
      <c r="LC55" s="301"/>
      <c r="LD55" s="301"/>
      <c r="LE55" s="301"/>
      <c r="LF55" s="301"/>
      <c r="LG55" s="301"/>
      <c r="LH55" s="301"/>
      <c r="LI55" s="301"/>
      <c r="LJ55" s="301"/>
      <c r="LK55" s="301"/>
      <c r="LL55" s="301"/>
      <c r="LM55" s="301"/>
      <c r="LN55" s="301"/>
      <c r="LO55" s="301"/>
      <c r="LP55" s="301"/>
      <c r="LQ55" s="301"/>
      <c r="LR55" s="301"/>
      <c r="LS55" s="301"/>
      <c r="LT55" s="301"/>
      <c r="LU55" s="301"/>
      <c r="LV55" s="301"/>
      <c r="LW55" s="301"/>
      <c r="LX55" s="301"/>
      <c r="LY55" s="301"/>
      <c r="LZ55" s="301"/>
      <c r="MA55" s="301"/>
      <c r="MB55" s="301"/>
      <c r="MC55" s="301"/>
      <c r="MD55" s="301"/>
      <c r="ME55" s="301"/>
      <c r="MF55" s="301"/>
      <c r="MG55" s="301"/>
      <c r="MH55" s="301"/>
      <c r="MI55" s="301"/>
      <c r="MJ55" s="301"/>
      <c r="MK55" s="301"/>
      <c r="ML55" s="301"/>
      <c r="MM55" s="301"/>
      <c r="MN55" s="301"/>
      <c r="MO55" s="301"/>
      <c r="MP55" s="301"/>
      <c r="MQ55" s="301"/>
      <c r="MR55" s="301"/>
      <c r="MS55" s="301"/>
      <c r="MT55" s="301"/>
      <c r="MU55" s="301"/>
      <c r="MV55" s="301"/>
      <c r="MW55" s="301"/>
      <c r="MX55" s="301"/>
      <c r="MY55" s="301"/>
      <c r="MZ55" s="301"/>
      <c r="NA55" s="301"/>
      <c r="NB55" s="301"/>
      <c r="NC55" s="301"/>
      <c r="ND55" s="301"/>
      <c r="NE55" s="301"/>
      <c r="NF55" s="301"/>
      <c r="NG55" s="301"/>
      <c r="NH55" s="301"/>
      <c r="NI55" s="301"/>
      <c r="NJ55" s="301"/>
      <c r="NK55" s="301"/>
      <c r="NL55" s="301"/>
      <c r="NM55" s="301"/>
      <c r="NN55" s="301"/>
      <c r="NO55" s="301"/>
      <c r="NP55" s="301"/>
      <c r="NQ55" s="301"/>
      <c r="NR55" s="301"/>
      <c r="NS55" s="301"/>
      <c r="NT55" s="301"/>
      <c r="NU55" s="301"/>
      <c r="NV55" s="301"/>
      <c r="NW55" s="301"/>
      <c r="NX55" s="301"/>
      <c r="NY55" s="301"/>
      <c r="NZ55" s="301"/>
      <c r="OA55" s="301"/>
      <c r="OB55" s="301"/>
      <c r="OC55" s="301"/>
      <c r="OD55" s="301"/>
      <c r="OE55" s="301"/>
      <c r="OF55" s="301"/>
      <c r="OG55" s="301"/>
      <c r="OH55" s="301"/>
      <c r="OI55" s="301"/>
      <c r="OJ55" s="301"/>
      <c r="OK55" s="301"/>
      <c r="OL55" s="301"/>
      <c r="OM55" s="301"/>
      <c r="ON55" s="301"/>
      <c r="OO55" s="301"/>
      <c r="OP55" s="301"/>
      <c r="OQ55" s="301"/>
      <c r="OR55" s="301"/>
      <c r="OS55" s="301"/>
      <c r="OT55" s="301"/>
      <c r="OU55" s="301"/>
      <c r="OV55" s="301"/>
      <c r="OW55" s="301"/>
      <c r="OX55" s="301"/>
      <c r="OY55" s="301"/>
      <c r="OZ55" s="301"/>
      <c r="PA55" s="301"/>
      <c r="PB55" s="301"/>
      <c r="PC55" s="301"/>
      <c r="PD55" s="301"/>
      <c r="PE55" s="301"/>
      <c r="PF55" s="301"/>
      <c r="PG55" s="301"/>
      <c r="PH55" s="301"/>
      <c r="PI55" s="301"/>
      <c r="PJ55" s="301"/>
      <c r="PK55" s="301"/>
      <c r="PL55" s="301"/>
      <c r="PM55" s="301"/>
      <c r="PN55" s="301"/>
      <c r="PO55" s="301"/>
      <c r="PP55" s="301"/>
      <c r="PQ55" s="301"/>
      <c r="PR55" s="301"/>
      <c r="PS55" s="301"/>
      <c r="PT55" s="301"/>
      <c r="PU55" s="301"/>
      <c r="PV55" s="301"/>
      <c r="PW55" s="301"/>
      <c r="PX55" s="301"/>
      <c r="PY55" s="301"/>
      <c r="PZ55" s="301"/>
      <c r="QA55" s="301"/>
      <c r="QB55" s="301"/>
      <c r="QC55" s="301"/>
      <c r="QD55" s="301"/>
      <c r="QE55" s="301"/>
      <c r="QF55" s="301"/>
      <c r="QG55" s="301"/>
      <c r="QH55" s="301"/>
      <c r="QI55" s="301"/>
      <c r="QJ55" s="301"/>
      <c r="QK55" s="301"/>
      <c r="QL55" s="301"/>
      <c r="QM55" s="301"/>
      <c r="QN55" s="301"/>
      <c r="QO55" s="301"/>
      <c r="QP55" s="301"/>
      <c r="QQ55" s="301"/>
      <c r="QR55" s="301"/>
      <c r="QS55" s="301"/>
      <c r="QT55" s="301"/>
      <c r="QU55" s="301"/>
      <c r="QV55" s="301"/>
      <c r="QW55" s="301"/>
      <c r="QX55" s="301"/>
      <c r="QY55" s="301"/>
      <c r="QZ55" s="301"/>
      <c r="RA55" s="301"/>
      <c r="RB55" s="301"/>
      <c r="RC55" s="301"/>
      <c r="RD55" s="301"/>
      <c r="RE55" s="301"/>
      <c r="RF55" s="301"/>
      <c r="RG55" s="301"/>
      <c r="RH55" s="301"/>
      <c r="RI55" s="301"/>
      <c r="RJ55" s="301"/>
      <c r="RK55" s="301"/>
      <c r="RL55" s="301"/>
      <c r="RM55" s="301"/>
      <c r="RN55" s="301"/>
      <c r="RO55" s="301"/>
      <c r="RP55" s="301"/>
      <c r="RQ55" s="301"/>
      <c r="RR55" s="301"/>
      <c r="RS55" s="301"/>
      <c r="RT55" s="301"/>
      <c r="RU55" s="301"/>
      <c r="RV55" s="301"/>
      <c r="RW55" s="301"/>
      <c r="RX55" s="301"/>
      <c r="RY55" s="301"/>
      <c r="RZ55" s="301"/>
      <c r="SA55" s="301"/>
      <c r="SB55" s="301"/>
      <c r="SC55" s="301"/>
      <c r="SD55" s="301"/>
      <c r="SE55" s="301"/>
      <c r="SF55" s="301"/>
      <c r="SG55" s="301"/>
      <c r="SH55" s="301"/>
      <c r="SI55" s="301"/>
      <c r="SJ55" s="301"/>
      <c r="SK55" s="301"/>
      <c r="SL55" s="301"/>
      <c r="SM55" s="301"/>
      <c r="SN55" s="301"/>
      <c r="SO55" s="301"/>
      <c r="SP55" s="301"/>
      <c r="SQ55" s="301"/>
      <c r="SR55" s="301"/>
      <c r="SS55" s="301"/>
      <c r="ST55" s="301"/>
      <c r="SU55" s="301"/>
      <c r="SV55" s="301"/>
      <c r="SW55" s="301"/>
      <c r="SX55" s="301"/>
      <c r="SY55" s="301"/>
      <c r="SZ55" s="301"/>
      <c r="TA55" s="301"/>
      <c r="TB55" s="301"/>
      <c r="TC55" s="301"/>
      <c r="TD55" s="301"/>
      <c r="TE55" s="301"/>
      <c r="TF55" s="301"/>
      <c r="TG55" s="301"/>
      <c r="TH55" s="301"/>
      <c r="TI55" s="301"/>
      <c r="TJ55" s="301"/>
      <c r="TK55" s="301"/>
      <c r="TL55" s="301"/>
      <c r="TM55" s="301"/>
      <c r="TN55" s="301"/>
      <c r="TO55" s="301"/>
      <c r="TP55" s="301"/>
      <c r="TQ55" s="301"/>
      <c r="TR55" s="301"/>
      <c r="TS55" s="301"/>
      <c r="TT55" s="301"/>
      <c r="TU55" s="301"/>
      <c r="TV55" s="301"/>
      <c r="TW55" s="301"/>
      <c r="TX55" s="301"/>
      <c r="TY55" s="301"/>
      <c r="TZ55" s="301"/>
      <c r="UA55" s="301"/>
      <c r="UB55" s="301"/>
      <c r="UC55" s="301"/>
      <c r="UD55" s="301"/>
      <c r="UE55" s="301"/>
      <c r="UF55" s="301"/>
      <c r="UG55" s="301"/>
      <c r="UH55" s="301"/>
      <c r="UI55" s="301"/>
      <c r="UJ55" s="301"/>
      <c r="UK55" s="301"/>
      <c r="UL55" s="301"/>
      <c r="UM55" s="301"/>
      <c r="UN55" s="301"/>
      <c r="UO55" s="301"/>
      <c r="UP55" s="301"/>
      <c r="UQ55" s="301"/>
      <c r="UR55" s="301"/>
      <c r="US55" s="301"/>
      <c r="UT55" s="301"/>
      <c r="UU55" s="301"/>
      <c r="UV55" s="301"/>
      <c r="UW55" s="301"/>
      <c r="UX55" s="301"/>
      <c r="UY55" s="301"/>
      <c r="UZ55" s="301"/>
      <c r="VA55" s="301"/>
      <c r="VB55" s="301"/>
      <c r="VC55" s="301"/>
      <c r="VD55" s="301"/>
      <c r="VE55" s="301"/>
      <c r="VF55" s="301"/>
      <c r="VG55" s="301"/>
      <c r="VH55" s="301"/>
      <c r="VI55" s="301"/>
      <c r="VJ55" s="301"/>
      <c r="VK55" s="301"/>
      <c r="VL55" s="301"/>
      <c r="VM55" s="301"/>
      <c r="VN55" s="301"/>
      <c r="VO55" s="301"/>
      <c r="VP55" s="301"/>
      <c r="VQ55" s="301"/>
      <c r="VR55" s="301"/>
      <c r="VS55" s="301"/>
      <c r="VT55" s="301"/>
      <c r="VU55" s="301"/>
      <c r="VV55" s="301"/>
      <c r="VW55" s="301"/>
      <c r="VX55" s="301"/>
      <c r="VY55" s="301"/>
      <c r="VZ55" s="301"/>
      <c r="WA55" s="301"/>
      <c r="WB55" s="301"/>
      <c r="WC55" s="301"/>
      <c r="WD55" s="301"/>
      <c r="WE55" s="301"/>
      <c r="WF55" s="301"/>
      <c r="WG55" s="301"/>
      <c r="WH55" s="301"/>
      <c r="WI55" s="301"/>
      <c r="WJ55" s="301"/>
      <c r="WK55" s="301"/>
      <c r="WL55" s="301"/>
      <c r="WM55" s="301"/>
      <c r="WN55" s="301"/>
      <c r="WO55" s="301"/>
      <c r="WP55" s="301"/>
      <c r="WQ55" s="301"/>
      <c r="WR55" s="301"/>
      <c r="WS55" s="301"/>
      <c r="WT55" s="301"/>
      <c r="WU55" s="301"/>
      <c r="WV55" s="301"/>
      <c r="WW55" s="301"/>
      <c r="WX55" s="301"/>
      <c r="WY55" s="301"/>
      <c r="WZ55" s="301"/>
      <c r="XA55" s="301"/>
      <c r="XB55" s="301"/>
      <c r="XC55" s="301"/>
      <c r="XD55" s="301"/>
      <c r="XE55" s="301"/>
      <c r="XF55" s="301"/>
      <c r="XG55" s="301"/>
      <c r="XH55" s="301"/>
      <c r="XI55" s="301"/>
      <c r="XJ55" s="301"/>
      <c r="XK55" s="301"/>
      <c r="XL55" s="301"/>
      <c r="XM55" s="301"/>
      <c r="XN55" s="301"/>
      <c r="XO55" s="301"/>
      <c r="XP55" s="301"/>
      <c r="XQ55" s="301"/>
      <c r="XR55" s="301"/>
      <c r="XS55" s="301"/>
      <c r="XT55" s="301"/>
      <c r="XU55" s="301"/>
      <c r="XV55" s="301"/>
      <c r="XW55" s="301"/>
      <c r="XX55" s="301"/>
      <c r="XY55" s="301"/>
      <c r="XZ55" s="301"/>
      <c r="YA55" s="301"/>
      <c r="YB55" s="301"/>
      <c r="YC55" s="301"/>
      <c r="YD55" s="301"/>
      <c r="YE55" s="301"/>
      <c r="YF55" s="301"/>
      <c r="YG55" s="301"/>
      <c r="YH55" s="301"/>
      <c r="YI55" s="301"/>
      <c r="YJ55" s="301"/>
      <c r="YK55" s="301"/>
      <c r="YL55" s="301"/>
      <c r="YM55" s="301"/>
      <c r="YN55" s="301"/>
      <c r="YO55" s="301"/>
      <c r="YP55" s="301"/>
      <c r="YQ55" s="301"/>
      <c r="YR55" s="301"/>
      <c r="YS55" s="301"/>
      <c r="YT55" s="301"/>
      <c r="YU55" s="301"/>
      <c r="YV55" s="301"/>
      <c r="YW55" s="301"/>
      <c r="YX55" s="301"/>
      <c r="YY55" s="301"/>
      <c r="YZ55" s="301"/>
      <c r="ZA55" s="301"/>
      <c r="ZB55" s="301"/>
      <c r="ZC55" s="301"/>
      <c r="ZD55" s="301"/>
      <c r="ZE55" s="301"/>
      <c r="ZF55" s="301"/>
      <c r="ZG55" s="301"/>
      <c r="ZH55" s="301"/>
      <c r="ZI55" s="301"/>
      <c r="ZJ55" s="301"/>
      <c r="ZK55" s="301"/>
      <c r="ZL55" s="301"/>
      <c r="ZM55" s="301"/>
      <c r="ZN55" s="301"/>
      <c r="ZO55" s="301"/>
      <c r="ZP55" s="301"/>
      <c r="ZQ55" s="301"/>
      <c r="ZR55" s="301"/>
      <c r="ZS55" s="301"/>
      <c r="ZT55" s="301"/>
      <c r="ZU55" s="301"/>
      <c r="ZV55" s="301"/>
      <c r="ZW55" s="301"/>
      <c r="ZX55" s="301"/>
      <c r="ZY55" s="301"/>
      <c r="ZZ55" s="301"/>
      <c r="AAA55" s="301"/>
      <c r="AAB55" s="301"/>
      <c r="AAC55" s="301"/>
      <c r="AAD55" s="301"/>
      <c r="AAE55" s="301"/>
      <c r="AAF55" s="301"/>
      <c r="AAG55" s="301"/>
      <c r="AAH55" s="301"/>
      <c r="AAI55" s="301"/>
      <c r="AAJ55" s="301"/>
      <c r="AAK55" s="301"/>
      <c r="AAL55" s="301"/>
      <c r="AAM55" s="301"/>
      <c r="AAN55" s="301"/>
      <c r="AAO55" s="301"/>
      <c r="AAP55" s="301"/>
      <c r="AAQ55" s="301"/>
      <c r="AAR55" s="301"/>
      <c r="AAS55" s="301"/>
      <c r="AAT55" s="301"/>
      <c r="AAU55" s="301"/>
      <c r="AAV55" s="301"/>
      <c r="AAW55" s="301"/>
      <c r="AAX55" s="301"/>
      <c r="AAY55" s="301"/>
      <c r="AAZ55" s="301"/>
      <c r="ABA55" s="301"/>
      <c r="ABB55" s="301"/>
      <c r="ABC55" s="301"/>
      <c r="ABD55" s="301"/>
      <c r="ABE55" s="301"/>
      <c r="ABF55" s="301"/>
      <c r="ABG55" s="301"/>
      <c r="ABH55" s="301"/>
      <c r="ABI55" s="301"/>
      <c r="ABJ55" s="301"/>
      <c r="ABK55" s="301"/>
      <c r="ABL55" s="301"/>
      <c r="ABM55" s="301"/>
      <c r="ABN55" s="301"/>
      <c r="ABO55" s="301"/>
      <c r="ABP55" s="301"/>
      <c r="ABQ55" s="301"/>
      <c r="ABR55" s="301"/>
      <c r="ABS55" s="301"/>
      <c r="ABT55" s="301"/>
      <c r="ABU55" s="301"/>
      <c r="ABV55" s="301"/>
      <c r="ABW55" s="301"/>
      <c r="ABX55" s="301"/>
      <c r="ABY55" s="301"/>
      <c r="ABZ55" s="301"/>
      <c r="ACA55" s="301"/>
      <c r="ACB55" s="301"/>
      <c r="ACC55" s="301"/>
      <c r="ACD55" s="301"/>
      <c r="ACE55" s="301"/>
      <c r="ACF55" s="301"/>
      <c r="ACG55" s="301"/>
      <c r="ACH55" s="301"/>
      <c r="ACI55" s="301"/>
      <c r="ACJ55" s="301"/>
      <c r="ACK55" s="301"/>
      <c r="ACL55" s="301"/>
      <c r="ACM55" s="301"/>
      <c r="ACN55" s="301"/>
      <c r="ACO55" s="301"/>
      <c r="ACP55" s="301"/>
      <c r="ACQ55" s="301"/>
      <c r="ACR55" s="301"/>
      <c r="ACS55" s="301"/>
      <c r="ACT55" s="301"/>
      <c r="ACU55" s="301"/>
      <c r="ACV55" s="301"/>
      <c r="ACW55" s="301"/>
      <c r="ACX55" s="301"/>
      <c r="ACY55" s="301"/>
      <c r="ACZ55" s="301"/>
      <c r="ADA55" s="301"/>
      <c r="ADB55" s="301"/>
      <c r="ADC55" s="301"/>
      <c r="ADD55" s="301"/>
      <c r="ADE55" s="301"/>
      <c r="ADF55" s="301"/>
      <c r="ADG55" s="301"/>
      <c r="ADH55" s="301"/>
      <c r="ADI55" s="301"/>
      <c r="ADJ55" s="301"/>
      <c r="ADK55" s="301"/>
      <c r="ADL55" s="301"/>
      <c r="ADM55" s="301"/>
      <c r="ADN55" s="301"/>
      <c r="ADO55" s="301"/>
      <c r="ADP55" s="301"/>
      <c r="ADQ55" s="301"/>
      <c r="ADR55" s="301"/>
      <c r="ADS55" s="301"/>
      <c r="ADT55" s="301"/>
      <c r="ADU55" s="301"/>
      <c r="ADV55" s="301"/>
      <c r="ADW55" s="301"/>
      <c r="ADX55" s="301"/>
      <c r="ADY55" s="301"/>
      <c r="ADZ55" s="301"/>
      <c r="AEA55" s="301"/>
      <c r="AEB55" s="301"/>
      <c r="AEC55" s="301"/>
      <c r="AED55" s="301"/>
      <c r="AEE55" s="301"/>
      <c r="AEF55" s="301"/>
      <c r="AEG55" s="301"/>
      <c r="AEH55" s="301"/>
      <c r="AEI55" s="301"/>
      <c r="AEJ55" s="301"/>
      <c r="AEK55" s="301"/>
      <c r="AEL55" s="301"/>
      <c r="AEM55" s="301"/>
      <c r="AEN55" s="301"/>
      <c r="AEO55" s="301"/>
      <c r="AEP55" s="301"/>
      <c r="AEQ55" s="301"/>
      <c r="AER55" s="301"/>
      <c r="AES55" s="301"/>
      <c r="AET55" s="301"/>
      <c r="AEU55" s="301"/>
      <c r="AEV55" s="301"/>
      <c r="AEW55" s="301"/>
      <c r="AEX55" s="301"/>
      <c r="AEY55" s="301"/>
      <c r="AEZ55" s="301"/>
      <c r="AFA55" s="301"/>
      <c r="AFB55" s="301"/>
      <c r="AFC55" s="301"/>
      <c r="AFD55" s="301"/>
      <c r="AFE55" s="301"/>
      <c r="AFF55" s="301"/>
      <c r="AFG55" s="301"/>
      <c r="AFH55" s="301"/>
      <c r="AFI55" s="301"/>
      <c r="AFJ55" s="301"/>
      <c r="AFK55" s="301"/>
      <c r="AFL55" s="301"/>
      <c r="AFM55" s="301"/>
      <c r="AFN55" s="301"/>
      <c r="AFO55" s="301"/>
      <c r="AFP55" s="301"/>
      <c r="AFQ55" s="301"/>
      <c r="AFR55" s="301"/>
      <c r="AFS55" s="301"/>
      <c r="AFT55" s="301"/>
      <c r="AFU55" s="301"/>
      <c r="AFV55" s="301"/>
      <c r="AFW55" s="301"/>
      <c r="AFX55" s="301"/>
      <c r="AFY55" s="301"/>
      <c r="AFZ55" s="301"/>
      <c r="AGA55" s="301"/>
      <c r="AGB55" s="301"/>
      <c r="AGC55" s="301"/>
      <c r="AGD55" s="301"/>
      <c r="AGE55" s="301"/>
      <c r="AGF55" s="301"/>
      <c r="AGG55" s="301"/>
      <c r="AGH55" s="301"/>
      <c r="AGI55" s="301"/>
      <c r="AGJ55" s="301"/>
      <c r="AGK55" s="301"/>
      <c r="AGL55" s="301"/>
      <c r="AGM55" s="301"/>
      <c r="AGN55" s="301"/>
      <c r="AGO55" s="301"/>
      <c r="AGP55" s="301"/>
      <c r="AGQ55" s="301"/>
      <c r="AGR55" s="301"/>
      <c r="AGS55" s="301"/>
      <c r="AGT55" s="301"/>
      <c r="AGU55" s="301"/>
      <c r="AGV55" s="301"/>
      <c r="AGW55" s="301"/>
      <c r="AGX55" s="301"/>
      <c r="AGY55" s="301"/>
      <c r="AGZ55" s="301"/>
      <c r="AHA55" s="301"/>
      <c r="AHB55" s="301"/>
      <c r="AHC55" s="301"/>
      <c r="AHD55" s="301"/>
      <c r="AHE55" s="301"/>
      <c r="AHF55" s="301"/>
      <c r="AHG55" s="301"/>
      <c r="AHH55" s="301"/>
      <c r="AHI55" s="301"/>
      <c r="AHJ55" s="301"/>
      <c r="AHK55" s="301"/>
      <c r="AHL55" s="301"/>
      <c r="AHM55" s="301"/>
      <c r="AHN55" s="301"/>
      <c r="AHO55" s="301"/>
      <c r="AHP55" s="301"/>
      <c r="AHQ55" s="301"/>
      <c r="AHR55" s="301"/>
      <c r="AHS55" s="301"/>
      <c r="AHT55" s="301"/>
      <c r="AHU55" s="301"/>
      <c r="AHV55" s="301"/>
      <c r="AHW55" s="301"/>
      <c r="AHX55" s="301"/>
      <c r="AHY55" s="301"/>
      <c r="AHZ55" s="301"/>
      <c r="AIA55" s="301"/>
      <c r="AIB55" s="301"/>
      <c r="AIC55" s="301"/>
      <c r="AID55" s="301"/>
      <c r="AIE55" s="301"/>
      <c r="AIF55" s="301"/>
      <c r="AIG55" s="301"/>
      <c r="AIH55" s="301"/>
      <c r="AII55" s="301"/>
      <c r="AIJ55" s="301"/>
      <c r="AIK55" s="301"/>
      <c r="AIL55" s="301"/>
      <c r="AIM55" s="301"/>
      <c r="AIN55" s="301"/>
      <c r="AIO55" s="301"/>
      <c r="AIP55" s="301"/>
      <c r="AIQ55" s="301"/>
      <c r="AIR55" s="301"/>
      <c r="AIS55" s="301"/>
      <c r="AIT55" s="301"/>
      <c r="AIU55" s="301"/>
      <c r="AIV55" s="301"/>
      <c r="AIW55" s="301"/>
      <c r="AIX55" s="301"/>
      <c r="AIY55" s="301"/>
      <c r="AIZ55" s="301"/>
      <c r="AJA55" s="301"/>
      <c r="AJB55" s="301"/>
      <c r="AJC55" s="301"/>
      <c r="AJD55" s="301"/>
      <c r="AJE55" s="301"/>
      <c r="AJF55" s="301"/>
      <c r="AJG55" s="301"/>
      <c r="AJH55" s="301"/>
      <c r="AJI55" s="301"/>
      <c r="AJJ55" s="301"/>
      <c r="AJK55" s="301"/>
      <c r="AJL55" s="301"/>
      <c r="AJM55" s="301"/>
      <c r="AJN55" s="301"/>
      <c r="AJO55" s="301"/>
      <c r="AJP55" s="301"/>
      <c r="AJQ55" s="301"/>
      <c r="AJR55" s="301"/>
      <c r="AJS55" s="301"/>
      <c r="AJT55" s="301"/>
      <c r="AJU55" s="301"/>
      <c r="AJV55" s="301"/>
      <c r="AJW55" s="301"/>
      <c r="AJX55" s="301"/>
      <c r="AJY55" s="301"/>
      <c r="AJZ55" s="301"/>
      <c r="AKA55" s="301"/>
      <c r="AKB55" s="301"/>
      <c r="AKC55" s="301"/>
      <c r="AKD55" s="301"/>
      <c r="AKE55" s="301"/>
      <c r="AKF55" s="301"/>
      <c r="AKG55" s="301"/>
      <c r="AKH55" s="301"/>
      <c r="AKI55" s="301"/>
      <c r="AKJ55" s="301"/>
      <c r="AKK55" s="301"/>
      <c r="AKL55" s="301"/>
      <c r="AKM55" s="301"/>
      <c r="AKN55" s="301"/>
      <c r="AKO55" s="301"/>
      <c r="AKP55" s="301"/>
      <c r="AKQ55" s="301"/>
      <c r="AKR55" s="301"/>
      <c r="AKS55" s="301"/>
      <c r="AKT55" s="301"/>
      <c r="AKU55" s="301"/>
      <c r="AKV55" s="301"/>
      <c r="AKW55" s="301"/>
      <c r="AKX55" s="301"/>
      <c r="AKY55" s="301"/>
      <c r="AKZ55" s="301"/>
      <c r="ALA55" s="301"/>
      <c r="ALB55" s="301"/>
      <c r="ALC55" s="301"/>
      <c r="ALD55" s="301"/>
      <c r="ALE55" s="301"/>
      <c r="ALF55" s="301"/>
      <c r="ALG55" s="301"/>
      <c r="ALH55" s="301"/>
      <c r="ALI55" s="301"/>
      <c r="ALJ55" s="301"/>
      <c r="ALK55" s="301"/>
      <c r="ALL55" s="301"/>
      <c r="ALM55" s="301"/>
      <c r="ALN55" s="301"/>
      <c r="ALO55" s="301"/>
      <c r="ALP55" s="301"/>
      <c r="ALQ55" s="301"/>
      <c r="ALR55" s="301"/>
      <c r="ALS55" s="301"/>
      <c r="ALT55" s="301"/>
      <c r="ALU55" s="301"/>
      <c r="ALV55" s="301"/>
      <c r="ALW55" s="301"/>
      <c r="ALX55" s="301"/>
      <c r="ALY55" s="301"/>
      <c r="ALZ55" s="301"/>
      <c r="AMA55" s="301"/>
      <c r="AMB55" s="301"/>
      <c r="AMC55" s="301"/>
      <c r="AMD55" s="301"/>
      <c r="AME55" s="301"/>
      <c r="AMF55" s="301"/>
      <c r="AMG55" s="301"/>
      <c r="AMH55" s="301"/>
      <c r="AMI55" s="301"/>
      <c r="AMJ55" s="301"/>
    </row>
    <row r="57" customFormat="false" ht="18" hidden="false" customHeight="true" outlineLevel="0" collapsed="false">
      <c r="A57" s="305" t="s">
        <v>226</v>
      </c>
      <c r="B57" s="306"/>
      <c r="C57" s="306"/>
      <c r="D57" s="306"/>
      <c r="E57" s="306"/>
      <c r="F57" s="306"/>
      <c r="G57" s="331" t="s">
        <v>194</v>
      </c>
      <c r="H57" s="331"/>
      <c r="I57" s="331" t="s">
        <v>32</v>
      </c>
      <c r="J57" s="331"/>
      <c r="K57" s="331"/>
      <c r="L57" s="296"/>
      <c r="M57" s="296"/>
      <c r="N57" s="296"/>
      <c r="O57" s="296"/>
      <c r="P57" s="296"/>
      <c r="Q57" s="296"/>
      <c r="R57" s="296"/>
      <c r="S57" s="296"/>
      <c r="T57" s="296"/>
      <c r="U57" s="296"/>
      <c r="V57" s="296"/>
      <c r="W57" s="296"/>
      <c r="X57" s="296"/>
      <c r="Y57" s="296"/>
      <c r="Z57" s="296"/>
      <c r="AA57" s="296"/>
      <c r="AB57" s="296"/>
      <c r="AC57" s="296"/>
      <c r="AD57" s="296"/>
      <c r="AE57" s="296"/>
      <c r="AF57" s="296"/>
      <c r="AG57" s="296"/>
      <c r="AH57" s="296"/>
      <c r="AI57" s="296"/>
      <c r="AJ57" s="296"/>
      <c r="AK57" s="296"/>
      <c r="AL57" s="296"/>
      <c r="AM57" s="296"/>
      <c r="AN57" s="296"/>
      <c r="AO57" s="296"/>
      <c r="AP57" s="296"/>
      <c r="AQ57" s="296"/>
      <c r="AR57" s="296"/>
      <c r="AS57" s="296"/>
      <c r="AT57" s="296"/>
      <c r="AU57" s="296"/>
      <c r="AV57" s="296"/>
      <c r="AW57" s="296"/>
      <c r="AX57" s="296"/>
      <c r="AY57" s="296"/>
      <c r="AZ57" s="296"/>
      <c r="BA57" s="296"/>
      <c r="BB57" s="296"/>
      <c r="BC57" s="296"/>
      <c r="BD57" s="296"/>
      <c r="BE57" s="296"/>
      <c r="BF57" s="296"/>
      <c r="BG57" s="296"/>
      <c r="BH57" s="296"/>
      <c r="BI57" s="296"/>
      <c r="BJ57" s="296"/>
      <c r="BK57" s="296"/>
      <c r="BL57" s="296"/>
      <c r="BM57" s="296"/>
      <c r="BN57" s="296"/>
      <c r="BO57" s="296"/>
      <c r="BP57" s="296"/>
      <c r="BQ57" s="296"/>
      <c r="BR57" s="296"/>
      <c r="BS57" s="296"/>
      <c r="BT57" s="296"/>
      <c r="BU57" s="296"/>
      <c r="BV57" s="296"/>
      <c r="BW57" s="296"/>
      <c r="BX57" s="296"/>
      <c r="BY57" s="296"/>
      <c r="BZ57" s="296"/>
      <c r="CA57" s="296"/>
      <c r="CB57" s="296"/>
      <c r="CC57" s="296"/>
      <c r="CD57" s="296"/>
      <c r="CE57" s="296"/>
      <c r="CF57" s="296"/>
      <c r="CG57" s="296"/>
      <c r="CH57" s="296"/>
      <c r="CI57" s="296"/>
      <c r="CJ57" s="296"/>
      <c r="CK57" s="296"/>
      <c r="CL57" s="296"/>
      <c r="CM57" s="296"/>
      <c r="CN57" s="296"/>
      <c r="CO57" s="296"/>
      <c r="CP57" s="296"/>
      <c r="CQ57" s="296"/>
      <c r="CR57" s="296"/>
      <c r="CS57" s="296"/>
      <c r="CT57" s="296"/>
      <c r="CU57" s="296"/>
      <c r="CV57" s="296"/>
      <c r="CW57" s="296"/>
      <c r="CX57" s="296"/>
      <c r="CY57" s="296"/>
      <c r="CZ57" s="296"/>
      <c r="DA57" s="296"/>
      <c r="DB57" s="296"/>
      <c r="DC57" s="296"/>
      <c r="DD57" s="296"/>
      <c r="DE57" s="296"/>
      <c r="DF57" s="296"/>
      <c r="DG57" s="296"/>
      <c r="DH57" s="296"/>
      <c r="DI57" s="296"/>
      <c r="DJ57" s="296"/>
      <c r="DK57" s="296"/>
      <c r="DL57" s="296"/>
      <c r="DM57" s="296"/>
      <c r="DN57" s="296"/>
      <c r="DO57" s="296"/>
      <c r="DP57" s="296"/>
      <c r="DQ57" s="296"/>
      <c r="DR57" s="296"/>
      <c r="DS57" s="296"/>
      <c r="DT57" s="296"/>
      <c r="DU57" s="296"/>
      <c r="DV57" s="296"/>
      <c r="DW57" s="296"/>
      <c r="DX57" s="296"/>
      <c r="DY57" s="296"/>
      <c r="DZ57" s="296"/>
      <c r="EA57" s="296"/>
      <c r="EB57" s="296"/>
      <c r="EC57" s="296"/>
      <c r="ED57" s="296"/>
      <c r="EE57" s="296"/>
      <c r="EF57" s="296"/>
      <c r="EG57" s="296"/>
      <c r="EH57" s="296"/>
      <c r="EI57" s="296"/>
      <c r="EJ57" s="296"/>
      <c r="EK57" s="296"/>
      <c r="EL57" s="296"/>
      <c r="EM57" s="296"/>
      <c r="EN57" s="296"/>
      <c r="EO57" s="296"/>
      <c r="EP57" s="296"/>
      <c r="EQ57" s="296"/>
      <c r="ER57" s="296"/>
      <c r="ES57" s="296"/>
      <c r="ET57" s="296"/>
      <c r="EU57" s="296"/>
      <c r="EV57" s="296"/>
      <c r="EW57" s="296"/>
      <c r="EX57" s="296"/>
      <c r="EY57" s="296"/>
      <c r="EZ57" s="296"/>
      <c r="FA57" s="296"/>
      <c r="FB57" s="296"/>
      <c r="FC57" s="296"/>
      <c r="FD57" s="296"/>
      <c r="FE57" s="296"/>
      <c r="FF57" s="296"/>
      <c r="FG57" s="296"/>
      <c r="FH57" s="296"/>
      <c r="FI57" s="296"/>
      <c r="FJ57" s="296"/>
      <c r="FK57" s="296"/>
      <c r="FL57" s="296"/>
      <c r="FM57" s="296"/>
      <c r="FN57" s="296"/>
      <c r="FO57" s="296"/>
      <c r="FP57" s="296"/>
      <c r="FQ57" s="296"/>
      <c r="FR57" s="296"/>
      <c r="FS57" s="296"/>
      <c r="FT57" s="296"/>
      <c r="FU57" s="296"/>
      <c r="FV57" s="296"/>
      <c r="FW57" s="296"/>
      <c r="FX57" s="296"/>
      <c r="FY57" s="296"/>
      <c r="FZ57" s="296"/>
      <c r="GA57" s="296"/>
      <c r="GB57" s="296"/>
      <c r="GC57" s="296"/>
      <c r="GD57" s="296"/>
      <c r="GE57" s="296"/>
      <c r="GF57" s="296"/>
      <c r="GG57" s="296"/>
      <c r="GH57" s="296"/>
      <c r="GI57" s="296"/>
      <c r="GJ57" s="296"/>
      <c r="GK57" s="296"/>
      <c r="GL57" s="296"/>
      <c r="GM57" s="296"/>
      <c r="GN57" s="296"/>
      <c r="GO57" s="296"/>
      <c r="GP57" s="296"/>
      <c r="GQ57" s="296"/>
      <c r="GR57" s="296"/>
      <c r="GS57" s="296"/>
      <c r="GT57" s="296"/>
      <c r="GU57" s="296"/>
      <c r="GV57" s="296"/>
      <c r="GW57" s="296"/>
      <c r="GX57" s="296"/>
      <c r="GY57" s="296"/>
      <c r="GZ57" s="296"/>
      <c r="HA57" s="296"/>
      <c r="HB57" s="296"/>
      <c r="HC57" s="296"/>
      <c r="HD57" s="296"/>
      <c r="HE57" s="296"/>
      <c r="HF57" s="296"/>
      <c r="HG57" s="296"/>
      <c r="HH57" s="296"/>
      <c r="HI57" s="296"/>
      <c r="HJ57" s="296"/>
      <c r="HK57" s="296"/>
      <c r="HL57" s="296"/>
      <c r="HM57" s="296"/>
      <c r="HN57" s="296"/>
      <c r="HO57" s="296"/>
      <c r="HP57" s="296"/>
      <c r="HQ57" s="296"/>
      <c r="HR57" s="296"/>
      <c r="HS57" s="296"/>
      <c r="HT57" s="296"/>
      <c r="HU57" s="296"/>
      <c r="HV57" s="296"/>
      <c r="HW57" s="296"/>
      <c r="HX57" s="296"/>
      <c r="HY57" s="296"/>
      <c r="HZ57" s="296"/>
      <c r="IA57" s="296"/>
      <c r="IB57" s="296"/>
      <c r="IC57" s="296"/>
      <c r="ID57" s="296"/>
      <c r="IE57" s="296"/>
      <c r="IF57" s="296"/>
      <c r="IG57" s="296"/>
      <c r="IH57" s="296"/>
      <c r="II57" s="296"/>
      <c r="IJ57" s="296"/>
      <c r="IK57" s="296"/>
      <c r="IL57" s="296"/>
      <c r="IM57" s="296"/>
      <c r="IN57" s="296"/>
      <c r="IO57" s="296"/>
      <c r="IP57" s="296"/>
      <c r="IQ57" s="296"/>
      <c r="IR57" s="296"/>
      <c r="IS57" s="296"/>
      <c r="IT57" s="296"/>
      <c r="IU57" s="296"/>
      <c r="IV57" s="296"/>
      <c r="IW57" s="296"/>
      <c r="IX57" s="296"/>
      <c r="IY57" s="296"/>
      <c r="IZ57" s="296"/>
      <c r="JA57" s="296"/>
      <c r="JB57" s="296"/>
      <c r="JC57" s="296"/>
      <c r="JD57" s="296"/>
      <c r="JE57" s="296"/>
      <c r="JF57" s="296"/>
      <c r="JG57" s="296"/>
      <c r="JH57" s="296"/>
      <c r="JI57" s="296"/>
      <c r="JJ57" s="296"/>
      <c r="JK57" s="296"/>
      <c r="JL57" s="296"/>
      <c r="JM57" s="296"/>
      <c r="JN57" s="296"/>
      <c r="JO57" s="296"/>
      <c r="JP57" s="296"/>
      <c r="JQ57" s="296"/>
      <c r="JR57" s="296"/>
      <c r="JS57" s="296"/>
      <c r="JT57" s="296"/>
      <c r="JU57" s="296"/>
      <c r="JV57" s="296"/>
      <c r="JW57" s="296"/>
      <c r="JX57" s="296"/>
      <c r="JY57" s="296"/>
      <c r="JZ57" s="296"/>
      <c r="KA57" s="296"/>
      <c r="KB57" s="296"/>
      <c r="KC57" s="296"/>
      <c r="KD57" s="296"/>
      <c r="KE57" s="296"/>
      <c r="KF57" s="296"/>
      <c r="KG57" s="296"/>
      <c r="KH57" s="296"/>
      <c r="KI57" s="296"/>
      <c r="KJ57" s="296"/>
      <c r="KK57" s="296"/>
      <c r="KL57" s="296"/>
      <c r="KM57" s="296"/>
      <c r="KN57" s="296"/>
      <c r="KO57" s="296"/>
      <c r="KP57" s="296"/>
      <c r="KQ57" s="296"/>
      <c r="KR57" s="296"/>
      <c r="KS57" s="296"/>
      <c r="KT57" s="296"/>
      <c r="KU57" s="296"/>
      <c r="KV57" s="296"/>
      <c r="KW57" s="296"/>
      <c r="KX57" s="296"/>
      <c r="KY57" s="296"/>
      <c r="KZ57" s="296"/>
      <c r="LA57" s="296"/>
      <c r="LB57" s="296"/>
      <c r="LC57" s="296"/>
      <c r="LD57" s="296"/>
      <c r="LE57" s="296"/>
      <c r="LF57" s="296"/>
      <c r="LG57" s="296"/>
      <c r="LH57" s="296"/>
      <c r="LI57" s="296"/>
      <c r="LJ57" s="296"/>
      <c r="LK57" s="296"/>
      <c r="LL57" s="296"/>
      <c r="LM57" s="296"/>
      <c r="LN57" s="296"/>
      <c r="LO57" s="296"/>
      <c r="LP57" s="296"/>
      <c r="LQ57" s="296"/>
      <c r="LR57" s="296"/>
      <c r="LS57" s="296"/>
      <c r="LT57" s="296"/>
      <c r="LU57" s="296"/>
      <c r="LV57" s="296"/>
      <c r="LW57" s="296"/>
      <c r="LX57" s="296"/>
      <c r="LY57" s="296"/>
      <c r="LZ57" s="296"/>
      <c r="MA57" s="296"/>
      <c r="MB57" s="296"/>
      <c r="MC57" s="296"/>
      <c r="MD57" s="296"/>
      <c r="ME57" s="296"/>
      <c r="MF57" s="296"/>
      <c r="MG57" s="296"/>
      <c r="MH57" s="296"/>
      <c r="MI57" s="296"/>
      <c r="MJ57" s="296"/>
      <c r="MK57" s="296"/>
      <c r="ML57" s="296"/>
      <c r="MM57" s="296"/>
      <c r="MN57" s="296"/>
      <c r="MO57" s="296"/>
      <c r="MP57" s="296"/>
      <c r="MQ57" s="296"/>
      <c r="MR57" s="296"/>
      <c r="MS57" s="296"/>
      <c r="MT57" s="296"/>
      <c r="MU57" s="296"/>
      <c r="MV57" s="296"/>
      <c r="MW57" s="296"/>
      <c r="MX57" s="296"/>
      <c r="MY57" s="296"/>
      <c r="MZ57" s="296"/>
      <c r="NA57" s="296"/>
      <c r="NB57" s="296"/>
      <c r="NC57" s="296"/>
      <c r="ND57" s="296"/>
      <c r="NE57" s="296"/>
      <c r="NF57" s="296"/>
      <c r="NG57" s="296"/>
      <c r="NH57" s="296"/>
      <c r="NI57" s="296"/>
      <c r="NJ57" s="296"/>
      <c r="NK57" s="296"/>
      <c r="NL57" s="296"/>
      <c r="NM57" s="296"/>
      <c r="NN57" s="296"/>
      <c r="NO57" s="296"/>
      <c r="NP57" s="296"/>
      <c r="NQ57" s="296"/>
      <c r="NR57" s="296"/>
      <c r="NS57" s="296"/>
      <c r="NT57" s="296"/>
      <c r="NU57" s="296"/>
      <c r="NV57" s="296"/>
      <c r="NW57" s="296"/>
      <c r="NX57" s="296"/>
      <c r="NY57" s="296"/>
      <c r="NZ57" s="296"/>
      <c r="OA57" s="296"/>
      <c r="OB57" s="296"/>
      <c r="OC57" s="296"/>
      <c r="OD57" s="296"/>
      <c r="OE57" s="296"/>
      <c r="OF57" s="296"/>
      <c r="OG57" s="296"/>
      <c r="OH57" s="296"/>
      <c r="OI57" s="296"/>
      <c r="OJ57" s="296"/>
      <c r="OK57" s="296"/>
      <c r="OL57" s="296"/>
      <c r="OM57" s="296"/>
      <c r="ON57" s="296"/>
      <c r="OO57" s="296"/>
      <c r="OP57" s="296"/>
      <c r="OQ57" s="296"/>
      <c r="OR57" s="296"/>
      <c r="OS57" s="296"/>
      <c r="OT57" s="296"/>
      <c r="OU57" s="296"/>
      <c r="OV57" s="296"/>
      <c r="OW57" s="296"/>
      <c r="OX57" s="296"/>
      <c r="OY57" s="296"/>
      <c r="OZ57" s="296"/>
      <c r="PA57" s="296"/>
      <c r="PB57" s="296"/>
      <c r="PC57" s="296"/>
      <c r="PD57" s="296"/>
      <c r="PE57" s="296"/>
      <c r="PF57" s="296"/>
      <c r="PG57" s="296"/>
      <c r="PH57" s="296"/>
      <c r="PI57" s="296"/>
      <c r="PJ57" s="296"/>
      <c r="PK57" s="296"/>
      <c r="PL57" s="296"/>
      <c r="PM57" s="296"/>
      <c r="PN57" s="296"/>
      <c r="PO57" s="296"/>
      <c r="PP57" s="296"/>
      <c r="PQ57" s="296"/>
      <c r="PR57" s="296"/>
      <c r="PS57" s="296"/>
      <c r="PT57" s="296"/>
      <c r="PU57" s="296"/>
      <c r="PV57" s="296"/>
      <c r="PW57" s="296"/>
      <c r="PX57" s="296"/>
      <c r="PY57" s="296"/>
      <c r="PZ57" s="296"/>
      <c r="QA57" s="296"/>
      <c r="QB57" s="296"/>
      <c r="QC57" s="296"/>
      <c r="QD57" s="296"/>
      <c r="QE57" s="296"/>
      <c r="QF57" s="296"/>
      <c r="QG57" s="296"/>
      <c r="QH57" s="296"/>
      <c r="QI57" s="296"/>
      <c r="QJ57" s="296"/>
      <c r="QK57" s="296"/>
      <c r="QL57" s="296"/>
      <c r="QM57" s="296"/>
      <c r="QN57" s="296"/>
      <c r="QO57" s="296"/>
      <c r="QP57" s="296"/>
      <c r="QQ57" s="296"/>
      <c r="QR57" s="296"/>
      <c r="QS57" s="296"/>
      <c r="QT57" s="296"/>
      <c r="QU57" s="296"/>
      <c r="QV57" s="296"/>
      <c r="QW57" s="296"/>
      <c r="QX57" s="296"/>
      <c r="QY57" s="296"/>
      <c r="QZ57" s="296"/>
      <c r="RA57" s="296"/>
      <c r="RB57" s="296"/>
      <c r="RC57" s="296"/>
      <c r="RD57" s="296"/>
      <c r="RE57" s="296"/>
      <c r="RF57" s="296"/>
      <c r="RG57" s="296"/>
      <c r="RH57" s="296"/>
      <c r="RI57" s="296"/>
      <c r="RJ57" s="296"/>
      <c r="RK57" s="296"/>
      <c r="RL57" s="296"/>
      <c r="RM57" s="296"/>
      <c r="RN57" s="296"/>
      <c r="RO57" s="296"/>
      <c r="RP57" s="296"/>
      <c r="RQ57" s="296"/>
      <c r="RR57" s="296"/>
      <c r="RS57" s="296"/>
      <c r="RT57" s="296"/>
      <c r="RU57" s="296"/>
      <c r="RV57" s="296"/>
      <c r="RW57" s="296"/>
      <c r="RX57" s="296"/>
      <c r="RY57" s="296"/>
      <c r="RZ57" s="296"/>
      <c r="SA57" s="296"/>
      <c r="SB57" s="296"/>
      <c r="SC57" s="296"/>
      <c r="SD57" s="296"/>
      <c r="SE57" s="296"/>
      <c r="SF57" s="296"/>
      <c r="SG57" s="296"/>
      <c r="SH57" s="296"/>
      <c r="SI57" s="296"/>
      <c r="SJ57" s="296"/>
      <c r="SK57" s="296"/>
      <c r="SL57" s="296"/>
      <c r="SM57" s="296"/>
      <c r="SN57" s="296"/>
      <c r="SO57" s="296"/>
      <c r="SP57" s="296"/>
      <c r="SQ57" s="296"/>
      <c r="SR57" s="296"/>
      <c r="SS57" s="296"/>
      <c r="ST57" s="296"/>
      <c r="SU57" s="296"/>
      <c r="SV57" s="296"/>
      <c r="SW57" s="296"/>
      <c r="SX57" s="296"/>
      <c r="SY57" s="296"/>
      <c r="SZ57" s="296"/>
      <c r="TA57" s="296"/>
      <c r="TB57" s="296"/>
      <c r="TC57" s="296"/>
      <c r="TD57" s="296"/>
      <c r="TE57" s="296"/>
      <c r="TF57" s="296"/>
      <c r="TG57" s="296"/>
      <c r="TH57" s="296"/>
      <c r="TI57" s="296"/>
      <c r="TJ57" s="296"/>
      <c r="TK57" s="296"/>
      <c r="TL57" s="296"/>
      <c r="TM57" s="296"/>
      <c r="TN57" s="296"/>
      <c r="TO57" s="296"/>
      <c r="TP57" s="296"/>
      <c r="TQ57" s="296"/>
      <c r="TR57" s="296"/>
      <c r="TS57" s="296"/>
      <c r="TT57" s="296"/>
      <c r="TU57" s="296"/>
      <c r="TV57" s="296"/>
      <c r="TW57" s="296"/>
      <c r="TX57" s="296"/>
      <c r="TY57" s="296"/>
      <c r="TZ57" s="296"/>
      <c r="UA57" s="296"/>
      <c r="UB57" s="296"/>
      <c r="UC57" s="296"/>
      <c r="UD57" s="296"/>
      <c r="UE57" s="296"/>
      <c r="UF57" s="296"/>
      <c r="UG57" s="296"/>
      <c r="UH57" s="296"/>
      <c r="UI57" s="296"/>
      <c r="UJ57" s="296"/>
      <c r="UK57" s="296"/>
      <c r="UL57" s="296"/>
      <c r="UM57" s="296"/>
      <c r="UN57" s="296"/>
      <c r="UO57" s="296"/>
      <c r="UP57" s="296"/>
      <c r="UQ57" s="296"/>
      <c r="UR57" s="296"/>
      <c r="US57" s="296"/>
      <c r="UT57" s="296"/>
      <c r="UU57" s="296"/>
      <c r="UV57" s="296"/>
      <c r="UW57" s="296"/>
      <c r="UX57" s="296"/>
      <c r="UY57" s="296"/>
      <c r="UZ57" s="296"/>
      <c r="VA57" s="296"/>
      <c r="VB57" s="296"/>
      <c r="VC57" s="296"/>
      <c r="VD57" s="296"/>
      <c r="VE57" s="296"/>
      <c r="VF57" s="296"/>
      <c r="VG57" s="296"/>
      <c r="VH57" s="296"/>
      <c r="VI57" s="296"/>
      <c r="VJ57" s="296"/>
      <c r="VK57" s="296"/>
      <c r="VL57" s="296"/>
      <c r="VM57" s="296"/>
      <c r="VN57" s="296"/>
      <c r="VO57" s="296"/>
      <c r="VP57" s="296"/>
      <c r="VQ57" s="296"/>
      <c r="VR57" s="296"/>
      <c r="VS57" s="296"/>
      <c r="VT57" s="296"/>
      <c r="VU57" s="296"/>
      <c r="VV57" s="296"/>
      <c r="VW57" s="296"/>
      <c r="VX57" s="296"/>
      <c r="VY57" s="296"/>
      <c r="VZ57" s="296"/>
      <c r="WA57" s="296"/>
      <c r="WB57" s="296"/>
      <c r="WC57" s="296"/>
      <c r="WD57" s="296"/>
      <c r="WE57" s="296"/>
      <c r="WF57" s="296"/>
      <c r="WG57" s="296"/>
      <c r="WH57" s="296"/>
      <c r="WI57" s="296"/>
      <c r="WJ57" s="296"/>
      <c r="WK57" s="296"/>
      <c r="WL57" s="296"/>
      <c r="WM57" s="296"/>
      <c r="WN57" s="296"/>
      <c r="WO57" s="296"/>
      <c r="WP57" s="296"/>
      <c r="WQ57" s="296"/>
      <c r="WR57" s="296"/>
      <c r="WS57" s="296"/>
      <c r="WT57" s="296"/>
      <c r="WU57" s="296"/>
      <c r="WV57" s="296"/>
      <c r="WW57" s="296"/>
      <c r="WX57" s="296"/>
      <c r="WY57" s="296"/>
      <c r="WZ57" s="296"/>
      <c r="XA57" s="296"/>
      <c r="XB57" s="296"/>
      <c r="XC57" s="296"/>
      <c r="XD57" s="296"/>
      <c r="XE57" s="296"/>
      <c r="XF57" s="296"/>
      <c r="XG57" s="296"/>
      <c r="XH57" s="296"/>
      <c r="XI57" s="296"/>
      <c r="XJ57" s="296"/>
      <c r="XK57" s="296"/>
      <c r="XL57" s="296"/>
      <c r="XM57" s="296"/>
      <c r="XN57" s="296"/>
      <c r="XO57" s="296"/>
      <c r="XP57" s="296"/>
      <c r="XQ57" s="296"/>
      <c r="XR57" s="296"/>
      <c r="XS57" s="296"/>
      <c r="XT57" s="296"/>
      <c r="XU57" s="296"/>
      <c r="XV57" s="296"/>
      <c r="XW57" s="296"/>
      <c r="XX57" s="296"/>
      <c r="XY57" s="296"/>
      <c r="XZ57" s="296"/>
      <c r="YA57" s="296"/>
      <c r="YB57" s="296"/>
      <c r="YC57" s="296"/>
      <c r="YD57" s="296"/>
      <c r="YE57" s="296"/>
      <c r="YF57" s="296"/>
      <c r="YG57" s="296"/>
      <c r="YH57" s="296"/>
      <c r="YI57" s="296"/>
      <c r="YJ57" s="296"/>
      <c r="YK57" s="296"/>
      <c r="YL57" s="296"/>
      <c r="YM57" s="296"/>
      <c r="YN57" s="296"/>
      <c r="YO57" s="296"/>
      <c r="YP57" s="296"/>
      <c r="YQ57" s="296"/>
      <c r="YR57" s="296"/>
      <c r="YS57" s="296"/>
      <c r="YT57" s="296"/>
      <c r="YU57" s="296"/>
      <c r="YV57" s="296"/>
      <c r="YW57" s="296"/>
      <c r="YX57" s="296"/>
      <c r="YY57" s="296"/>
      <c r="YZ57" s="296"/>
      <c r="ZA57" s="296"/>
      <c r="ZB57" s="296"/>
      <c r="ZC57" s="296"/>
      <c r="ZD57" s="296"/>
      <c r="ZE57" s="296"/>
      <c r="ZF57" s="296"/>
      <c r="ZG57" s="296"/>
      <c r="ZH57" s="296"/>
      <c r="ZI57" s="296"/>
      <c r="ZJ57" s="296"/>
      <c r="ZK57" s="296"/>
      <c r="ZL57" s="296"/>
      <c r="ZM57" s="296"/>
      <c r="ZN57" s="296"/>
      <c r="ZO57" s="296"/>
      <c r="ZP57" s="296"/>
      <c r="ZQ57" s="296"/>
      <c r="ZR57" s="296"/>
      <c r="ZS57" s="296"/>
      <c r="ZT57" s="296"/>
      <c r="ZU57" s="296"/>
      <c r="ZV57" s="296"/>
      <c r="ZW57" s="296"/>
      <c r="ZX57" s="296"/>
      <c r="ZY57" s="296"/>
      <c r="ZZ57" s="296"/>
      <c r="AAA57" s="296"/>
      <c r="AAB57" s="296"/>
      <c r="AAC57" s="296"/>
      <c r="AAD57" s="296"/>
      <c r="AAE57" s="296"/>
      <c r="AAF57" s="296"/>
      <c r="AAG57" s="296"/>
      <c r="AAH57" s="296"/>
      <c r="AAI57" s="296"/>
      <c r="AAJ57" s="296"/>
      <c r="AAK57" s="296"/>
      <c r="AAL57" s="296"/>
      <c r="AAM57" s="296"/>
      <c r="AAN57" s="296"/>
      <c r="AAO57" s="296"/>
      <c r="AAP57" s="296"/>
      <c r="AAQ57" s="296"/>
      <c r="AAR57" s="296"/>
      <c r="AAS57" s="296"/>
      <c r="AAT57" s="296"/>
      <c r="AAU57" s="296"/>
      <c r="AAV57" s="296"/>
      <c r="AAW57" s="296"/>
      <c r="AAX57" s="296"/>
      <c r="AAY57" s="296"/>
      <c r="AAZ57" s="296"/>
      <c r="ABA57" s="296"/>
      <c r="ABB57" s="296"/>
      <c r="ABC57" s="296"/>
      <c r="ABD57" s="296"/>
      <c r="ABE57" s="296"/>
      <c r="ABF57" s="296"/>
      <c r="ABG57" s="296"/>
      <c r="ABH57" s="296"/>
      <c r="ABI57" s="296"/>
      <c r="ABJ57" s="296"/>
      <c r="ABK57" s="296"/>
      <c r="ABL57" s="296"/>
      <c r="ABM57" s="296"/>
      <c r="ABN57" s="296"/>
      <c r="ABO57" s="296"/>
      <c r="ABP57" s="296"/>
      <c r="ABQ57" s="296"/>
      <c r="ABR57" s="296"/>
      <c r="ABS57" s="296"/>
      <c r="ABT57" s="296"/>
      <c r="ABU57" s="296"/>
      <c r="ABV57" s="296"/>
      <c r="ABW57" s="296"/>
      <c r="ABX57" s="296"/>
      <c r="ABY57" s="296"/>
      <c r="ABZ57" s="296"/>
      <c r="ACA57" s="296"/>
      <c r="ACB57" s="296"/>
      <c r="ACC57" s="296"/>
      <c r="ACD57" s="296"/>
      <c r="ACE57" s="296"/>
      <c r="ACF57" s="296"/>
      <c r="ACG57" s="296"/>
      <c r="ACH57" s="296"/>
      <c r="ACI57" s="296"/>
      <c r="ACJ57" s="296"/>
      <c r="ACK57" s="296"/>
      <c r="ACL57" s="296"/>
      <c r="ACM57" s="296"/>
      <c r="ACN57" s="296"/>
      <c r="ACO57" s="296"/>
      <c r="ACP57" s="296"/>
      <c r="ACQ57" s="296"/>
      <c r="ACR57" s="296"/>
      <c r="ACS57" s="296"/>
      <c r="ACT57" s="296"/>
      <c r="ACU57" s="296"/>
      <c r="ACV57" s="296"/>
      <c r="ACW57" s="296"/>
      <c r="ACX57" s="296"/>
      <c r="ACY57" s="296"/>
      <c r="ACZ57" s="296"/>
      <c r="ADA57" s="296"/>
      <c r="ADB57" s="296"/>
      <c r="ADC57" s="296"/>
      <c r="ADD57" s="296"/>
      <c r="ADE57" s="296"/>
      <c r="ADF57" s="296"/>
      <c r="ADG57" s="296"/>
      <c r="ADH57" s="296"/>
      <c r="ADI57" s="296"/>
      <c r="ADJ57" s="296"/>
      <c r="ADK57" s="296"/>
      <c r="ADL57" s="296"/>
      <c r="ADM57" s="296"/>
      <c r="ADN57" s="296"/>
      <c r="ADO57" s="296"/>
      <c r="ADP57" s="296"/>
      <c r="ADQ57" s="296"/>
      <c r="ADR57" s="296"/>
      <c r="ADS57" s="296"/>
      <c r="ADT57" s="296"/>
      <c r="ADU57" s="296"/>
      <c r="ADV57" s="296"/>
      <c r="ADW57" s="296"/>
      <c r="ADX57" s="296"/>
      <c r="ADY57" s="296"/>
      <c r="ADZ57" s="296"/>
      <c r="AEA57" s="296"/>
      <c r="AEB57" s="296"/>
      <c r="AEC57" s="296"/>
      <c r="AED57" s="296"/>
      <c r="AEE57" s="296"/>
      <c r="AEF57" s="296"/>
      <c r="AEG57" s="296"/>
      <c r="AEH57" s="296"/>
      <c r="AEI57" s="296"/>
      <c r="AEJ57" s="296"/>
      <c r="AEK57" s="296"/>
      <c r="AEL57" s="296"/>
      <c r="AEM57" s="296"/>
      <c r="AEN57" s="296"/>
      <c r="AEO57" s="296"/>
      <c r="AEP57" s="296"/>
      <c r="AEQ57" s="296"/>
      <c r="AER57" s="296"/>
      <c r="AES57" s="296"/>
      <c r="AET57" s="296"/>
      <c r="AEU57" s="296"/>
      <c r="AEV57" s="296"/>
      <c r="AEW57" s="296"/>
      <c r="AEX57" s="296"/>
      <c r="AEY57" s="296"/>
      <c r="AEZ57" s="296"/>
      <c r="AFA57" s="296"/>
      <c r="AFB57" s="296"/>
      <c r="AFC57" s="296"/>
      <c r="AFD57" s="296"/>
      <c r="AFE57" s="296"/>
      <c r="AFF57" s="296"/>
      <c r="AFG57" s="296"/>
      <c r="AFH57" s="296"/>
      <c r="AFI57" s="296"/>
      <c r="AFJ57" s="296"/>
      <c r="AFK57" s="296"/>
      <c r="AFL57" s="296"/>
      <c r="AFM57" s="296"/>
      <c r="AFN57" s="296"/>
      <c r="AFO57" s="296"/>
      <c r="AFP57" s="296"/>
      <c r="AFQ57" s="296"/>
      <c r="AFR57" s="296"/>
      <c r="AFS57" s="296"/>
      <c r="AFT57" s="296"/>
      <c r="AFU57" s="296"/>
      <c r="AFV57" s="296"/>
      <c r="AFW57" s="296"/>
      <c r="AFX57" s="296"/>
      <c r="AFY57" s="296"/>
      <c r="AFZ57" s="296"/>
      <c r="AGA57" s="296"/>
      <c r="AGB57" s="296"/>
      <c r="AGC57" s="296"/>
      <c r="AGD57" s="296"/>
      <c r="AGE57" s="296"/>
      <c r="AGF57" s="296"/>
      <c r="AGG57" s="296"/>
      <c r="AGH57" s="296"/>
      <c r="AGI57" s="296"/>
      <c r="AGJ57" s="296"/>
      <c r="AGK57" s="296"/>
      <c r="AGL57" s="296"/>
      <c r="AGM57" s="296"/>
      <c r="AGN57" s="296"/>
      <c r="AGO57" s="296"/>
      <c r="AGP57" s="296"/>
      <c r="AGQ57" s="296"/>
      <c r="AGR57" s="296"/>
      <c r="AGS57" s="296"/>
      <c r="AGT57" s="296"/>
      <c r="AGU57" s="296"/>
      <c r="AGV57" s="296"/>
      <c r="AGW57" s="296"/>
      <c r="AGX57" s="296"/>
      <c r="AGY57" s="296"/>
      <c r="AGZ57" s="296"/>
      <c r="AHA57" s="296"/>
      <c r="AHB57" s="296"/>
      <c r="AHC57" s="296"/>
      <c r="AHD57" s="296"/>
      <c r="AHE57" s="296"/>
      <c r="AHF57" s="296"/>
      <c r="AHG57" s="296"/>
      <c r="AHH57" s="296"/>
      <c r="AHI57" s="296"/>
      <c r="AHJ57" s="296"/>
      <c r="AHK57" s="296"/>
      <c r="AHL57" s="296"/>
      <c r="AHM57" s="296"/>
      <c r="AHN57" s="296"/>
      <c r="AHO57" s="296"/>
      <c r="AHP57" s="296"/>
      <c r="AHQ57" s="296"/>
      <c r="AHR57" s="296"/>
      <c r="AHS57" s="296"/>
      <c r="AHT57" s="296"/>
      <c r="AHU57" s="296"/>
      <c r="AHV57" s="296"/>
      <c r="AHW57" s="296"/>
      <c r="AHX57" s="296"/>
      <c r="AHY57" s="296"/>
      <c r="AHZ57" s="296"/>
      <c r="AIA57" s="296"/>
      <c r="AIB57" s="296"/>
      <c r="AIC57" s="296"/>
      <c r="AID57" s="296"/>
      <c r="AIE57" s="296"/>
      <c r="AIF57" s="296"/>
      <c r="AIG57" s="296"/>
      <c r="AIH57" s="296"/>
      <c r="AII57" s="296"/>
      <c r="AIJ57" s="296"/>
      <c r="AIK57" s="296"/>
      <c r="AIL57" s="296"/>
      <c r="AIM57" s="296"/>
      <c r="AIN57" s="296"/>
      <c r="AIO57" s="296"/>
      <c r="AIP57" s="296"/>
      <c r="AIQ57" s="296"/>
      <c r="AIR57" s="296"/>
      <c r="AIS57" s="296"/>
      <c r="AIT57" s="296"/>
      <c r="AIU57" s="296"/>
      <c r="AIV57" s="296"/>
      <c r="AIW57" s="296"/>
      <c r="AIX57" s="296"/>
      <c r="AIY57" s="296"/>
      <c r="AIZ57" s="296"/>
      <c r="AJA57" s="296"/>
      <c r="AJB57" s="296"/>
      <c r="AJC57" s="296"/>
      <c r="AJD57" s="296"/>
      <c r="AJE57" s="296"/>
      <c r="AJF57" s="296"/>
      <c r="AJG57" s="296"/>
      <c r="AJH57" s="296"/>
      <c r="AJI57" s="296"/>
      <c r="AJJ57" s="296"/>
      <c r="AJK57" s="296"/>
      <c r="AJL57" s="296"/>
      <c r="AJM57" s="296"/>
      <c r="AJN57" s="296"/>
      <c r="AJO57" s="296"/>
      <c r="AJP57" s="296"/>
      <c r="AJQ57" s="296"/>
      <c r="AJR57" s="296"/>
      <c r="AJS57" s="296"/>
      <c r="AJT57" s="296"/>
      <c r="AJU57" s="296"/>
      <c r="AJV57" s="296"/>
      <c r="AJW57" s="296"/>
      <c r="AJX57" s="296"/>
      <c r="AJY57" s="296"/>
      <c r="AJZ57" s="296"/>
      <c r="AKA57" s="296"/>
      <c r="AKB57" s="296"/>
      <c r="AKC57" s="296"/>
      <c r="AKD57" s="296"/>
      <c r="AKE57" s="296"/>
      <c r="AKF57" s="296"/>
      <c r="AKG57" s="296"/>
      <c r="AKH57" s="296"/>
      <c r="AKI57" s="296"/>
      <c r="AKJ57" s="296"/>
      <c r="AKK57" s="296"/>
      <c r="AKL57" s="296"/>
      <c r="AKM57" s="296"/>
      <c r="AKN57" s="296"/>
      <c r="AKO57" s="296"/>
      <c r="AKP57" s="296"/>
      <c r="AKQ57" s="296"/>
      <c r="AKR57" s="296"/>
      <c r="AKS57" s="296"/>
      <c r="AKT57" s="296"/>
      <c r="AKU57" s="296"/>
      <c r="AKV57" s="296"/>
      <c r="AKW57" s="296"/>
      <c r="AKX57" s="296"/>
      <c r="AKY57" s="296"/>
      <c r="AKZ57" s="296"/>
      <c r="ALA57" s="296"/>
      <c r="ALB57" s="296"/>
      <c r="ALC57" s="296"/>
      <c r="ALD57" s="296"/>
      <c r="ALE57" s="296"/>
      <c r="ALF57" s="296"/>
      <c r="ALG57" s="296"/>
      <c r="ALH57" s="296"/>
      <c r="ALI57" s="296"/>
      <c r="ALJ57" s="296"/>
      <c r="ALK57" s="296"/>
      <c r="ALL57" s="296"/>
      <c r="ALM57" s="296"/>
      <c r="ALN57" s="296"/>
      <c r="ALO57" s="296"/>
      <c r="ALP57" s="296"/>
      <c r="ALQ57" s="296"/>
      <c r="ALR57" s="296"/>
      <c r="ALS57" s="296"/>
      <c r="ALT57" s="296"/>
      <c r="ALU57" s="296"/>
      <c r="ALV57" s="296"/>
      <c r="ALW57" s="296"/>
      <c r="ALX57" s="296"/>
      <c r="ALY57" s="296"/>
      <c r="ALZ57" s="296"/>
      <c r="AMA57" s="296"/>
      <c r="AMB57" s="296"/>
      <c r="AMC57" s="296"/>
      <c r="AMD57" s="296"/>
      <c r="AME57" s="296"/>
      <c r="AMF57" s="296"/>
      <c r="AMG57" s="296"/>
      <c r="AMH57" s="1"/>
      <c r="AMI57" s="1"/>
      <c r="AMJ57" s="1"/>
    </row>
    <row r="58" customFormat="false" ht="6.95" hidden="false" customHeight="true" outlineLevel="0" collapsed="false">
      <c r="A58" s="332"/>
      <c r="B58" s="333"/>
      <c r="C58" s="333"/>
      <c r="D58" s="333"/>
      <c r="E58" s="333"/>
      <c r="F58" s="333"/>
      <c r="G58" s="334"/>
      <c r="H58" s="333"/>
      <c r="I58" s="333"/>
      <c r="J58" s="333"/>
      <c r="K58" s="333"/>
      <c r="AMH58" s="1"/>
      <c r="AMI58" s="1"/>
      <c r="AMJ58" s="1"/>
    </row>
    <row r="59" customFormat="false" ht="15" hidden="false" customHeight="true" outlineLevel="0" collapsed="false">
      <c r="A59" s="335" t="s">
        <v>227</v>
      </c>
      <c r="B59" s="336"/>
      <c r="C59" s="336"/>
      <c r="D59" s="336"/>
      <c r="E59" s="336"/>
      <c r="F59" s="336"/>
      <c r="G59" s="337" t="n">
        <f aca="false">IF(SUM(J28,J39,J48,J55)&gt;0,SUM(J28,J39,J48,J55),0)</f>
        <v>600</v>
      </c>
      <c r="H59" s="337"/>
      <c r="I59" s="337" t="n">
        <f aca="false">G59/12</f>
        <v>50</v>
      </c>
      <c r="J59" s="337"/>
      <c r="K59" s="337"/>
      <c r="L59" s="301"/>
      <c r="M59" s="301"/>
      <c r="N59" s="301"/>
      <c r="O59" s="301"/>
      <c r="P59" s="301"/>
      <c r="Q59" s="301"/>
      <c r="R59" s="301"/>
      <c r="S59" s="301"/>
      <c r="T59" s="301"/>
      <c r="U59" s="301"/>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301"/>
      <c r="BP59" s="301"/>
      <c r="BQ59" s="301"/>
      <c r="BR59" s="301"/>
      <c r="BS59" s="301"/>
      <c r="BT59" s="301"/>
      <c r="BU59" s="301"/>
      <c r="BV59" s="301"/>
      <c r="BW59" s="301"/>
      <c r="BX59" s="301"/>
      <c r="BY59" s="301"/>
      <c r="BZ59" s="301"/>
      <c r="CA59" s="301"/>
      <c r="CB59" s="301"/>
      <c r="CC59" s="301"/>
      <c r="CD59" s="301"/>
      <c r="CE59" s="301"/>
      <c r="CF59" s="301"/>
      <c r="CG59" s="301"/>
      <c r="CH59" s="301"/>
      <c r="CI59" s="301"/>
      <c r="CJ59" s="301"/>
      <c r="CK59" s="301"/>
      <c r="CL59" s="301"/>
      <c r="CM59" s="301"/>
      <c r="CN59" s="301"/>
      <c r="CO59" s="301"/>
      <c r="CP59" s="301"/>
      <c r="CQ59" s="301"/>
      <c r="CR59" s="301"/>
      <c r="CS59" s="301"/>
      <c r="CT59" s="301"/>
      <c r="CU59" s="301"/>
      <c r="CV59" s="301"/>
      <c r="CW59" s="301"/>
      <c r="CX59" s="301"/>
      <c r="CY59" s="301"/>
      <c r="CZ59" s="301"/>
      <c r="DA59" s="301"/>
      <c r="DB59" s="301"/>
      <c r="DC59" s="301"/>
      <c r="DD59" s="301"/>
      <c r="DE59" s="301"/>
      <c r="DF59" s="301"/>
      <c r="DG59" s="301"/>
      <c r="DH59" s="301"/>
      <c r="DI59" s="301"/>
      <c r="DJ59" s="301"/>
      <c r="DK59" s="301"/>
      <c r="DL59" s="301"/>
      <c r="DM59" s="301"/>
      <c r="DN59" s="301"/>
      <c r="DO59" s="301"/>
      <c r="DP59" s="301"/>
      <c r="DQ59" s="301"/>
      <c r="DR59" s="301"/>
      <c r="DS59" s="301"/>
      <c r="DT59" s="301"/>
      <c r="DU59" s="301"/>
      <c r="DV59" s="301"/>
      <c r="DW59" s="301"/>
      <c r="DX59" s="301"/>
      <c r="DY59" s="301"/>
      <c r="DZ59" s="301"/>
      <c r="EA59" s="301"/>
      <c r="EB59" s="301"/>
      <c r="EC59" s="301"/>
      <c r="ED59" s="301"/>
      <c r="EE59" s="301"/>
      <c r="EF59" s="301"/>
      <c r="EG59" s="301"/>
      <c r="EH59" s="301"/>
      <c r="EI59" s="301"/>
      <c r="EJ59" s="301"/>
      <c r="EK59" s="301"/>
      <c r="EL59" s="301"/>
      <c r="EM59" s="301"/>
      <c r="EN59" s="301"/>
      <c r="EO59" s="301"/>
      <c r="EP59" s="301"/>
      <c r="EQ59" s="301"/>
      <c r="ER59" s="301"/>
      <c r="ES59" s="301"/>
      <c r="ET59" s="301"/>
      <c r="EU59" s="301"/>
      <c r="EV59" s="301"/>
      <c r="EW59" s="301"/>
      <c r="EX59" s="301"/>
      <c r="EY59" s="301"/>
      <c r="EZ59" s="301"/>
      <c r="FA59" s="301"/>
      <c r="FB59" s="301"/>
      <c r="FC59" s="301"/>
      <c r="FD59" s="301"/>
      <c r="FE59" s="301"/>
      <c r="FF59" s="301"/>
      <c r="FG59" s="301"/>
      <c r="FH59" s="301"/>
      <c r="FI59" s="301"/>
      <c r="FJ59" s="301"/>
      <c r="FK59" s="301"/>
      <c r="FL59" s="301"/>
      <c r="FM59" s="301"/>
      <c r="FN59" s="301"/>
      <c r="FO59" s="301"/>
      <c r="FP59" s="301"/>
      <c r="FQ59" s="301"/>
      <c r="FR59" s="301"/>
      <c r="FS59" s="301"/>
      <c r="FT59" s="301"/>
      <c r="FU59" s="301"/>
      <c r="FV59" s="301"/>
      <c r="FW59" s="301"/>
      <c r="FX59" s="301"/>
      <c r="FY59" s="301"/>
      <c r="FZ59" s="301"/>
      <c r="GA59" s="301"/>
      <c r="GB59" s="301"/>
      <c r="GC59" s="301"/>
      <c r="GD59" s="301"/>
      <c r="GE59" s="301"/>
      <c r="GF59" s="301"/>
      <c r="GG59" s="301"/>
      <c r="GH59" s="301"/>
      <c r="GI59" s="301"/>
      <c r="GJ59" s="301"/>
      <c r="GK59" s="301"/>
      <c r="GL59" s="301"/>
      <c r="GM59" s="301"/>
      <c r="GN59" s="301"/>
      <c r="GO59" s="301"/>
      <c r="GP59" s="301"/>
      <c r="GQ59" s="301"/>
      <c r="GR59" s="301"/>
      <c r="GS59" s="301"/>
      <c r="GT59" s="301"/>
      <c r="GU59" s="301"/>
      <c r="GV59" s="301"/>
      <c r="GW59" s="301"/>
      <c r="GX59" s="301"/>
      <c r="GY59" s="301"/>
      <c r="GZ59" s="301"/>
      <c r="HA59" s="301"/>
      <c r="HB59" s="301"/>
      <c r="HC59" s="301"/>
      <c r="HD59" s="301"/>
      <c r="HE59" s="301"/>
      <c r="HF59" s="301"/>
      <c r="HG59" s="301"/>
      <c r="HH59" s="301"/>
      <c r="HI59" s="301"/>
      <c r="HJ59" s="301"/>
      <c r="HK59" s="301"/>
      <c r="HL59" s="301"/>
      <c r="HM59" s="301"/>
      <c r="HN59" s="301"/>
      <c r="HO59" s="301"/>
      <c r="HP59" s="301"/>
      <c r="HQ59" s="301"/>
      <c r="HR59" s="301"/>
      <c r="HS59" s="301"/>
      <c r="HT59" s="301"/>
      <c r="HU59" s="301"/>
      <c r="HV59" s="301"/>
      <c r="HW59" s="301"/>
      <c r="HX59" s="301"/>
      <c r="HY59" s="301"/>
      <c r="HZ59" s="301"/>
      <c r="IA59" s="301"/>
      <c r="IB59" s="301"/>
      <c r="IC59" s="301"/>
      <c r="ID59" s="301"/>
      <c r="IE59" s="301"/>
      <c r="IF59" s="301"/>
      <c r="IG59" s="301"/>
      <c r="IH59" s="301"/>
      <c r="II59" s="301"/>
      <c r="IJ59" s="301"/>
      <c r="IK59" s="301"/>
      <c r="IL59" s="301"/>
      <c r="IM59" s="301"/>
      <c r="IN59" s="301"/>
      <c r="IO59" s="301"/>
      <c r="IP59" s="301"/>
      <c r="IQ59" s="301"/>
      <c r="IR59" s="301"/>
      <c r="IS59" s="301"/>
      <c r="IT59" s="301"/>
      <c r="IU59" s="301"/>
      <c r="IV59" s="301"/>
      <c r="IW59" s="301"/>
      <c r="IX59" s="301"/>
      <c r="IY59" s="301"/>
      <c r="IZ59" s="301"/>
      <c r="JA59" s="301"/>
      <c r="JB59" s="301"/>
      <c r="JC59" s="301"/>
      <c r="JD59" s="301"/>
      <c r="JE59" s="301"/>
      <c r="JF59" s="301"/>
      <c r="JG59" s="301"/>
      <c r="JH59" s="301"/>
      <c r="JI59" s="301"/>
      <c r="JJ59" s="301"/>
      <c r="JK59" s="301"/>
      <c r="JL59" s="301"/>
      <c r="JM59" s="301"/>
      <c r="JN59" s="301"/>
      <c r="JO59" s="301"/>
      <c r="JP59" s="301"/>
      <c r="JQ59" s="301"/>
      <c r="JR59" s="301"/>
      <c r="JS59" s="301"/>
      <c r="JT59" s="301"/>
      <c r="JU59" s="301"/>
      <c r="JV59" s="301"/>
      <c r="JW59" s="301"/>
      <c r="JX59" s="301"/>
      <c r="JY59" s="301"/>
      <c r="JZ59" s="301"/>
      <c r="KA59" s="301"/>
      <c r="KB59" s="301"/>
      <c r="KC59" s="301"/>
      <c r="KD59" s="301"/>
      <c r="KE59" s="301"/>
      <c r="KF59" s="301"/>
      <c r="KG59" s="301"/>
      <c r="KH59" s="301"/>
      <c r="KI59" s="301"/>
      <c r="KJ59" s="301"/>
      <c r="KK59" s="301"/>
      <c r="KL59" s="301"/>
      <c r="KM59" s="301"/>
      <c r="KN59" s="301"/>
      <c r="KO59" s="301"/>
      <c r="KP59" s="301"/>
      <c r="KQ59" s="301"/>
      <c r="KR59" s="301"/>
      <c r="KS59" s="301"/>
      <c r="KT59" s="301"/>
      <c r="KU59" s="301"/>
      <c r="KV59" s="301"/>
      <c r="KW59" s="301"/>
      <c r="KX59" s="301"/>
      <c r="KY59" s="301"/>
      <c r="KZ59" s="301"/>
      <c r="LA59" s="301"/>
      <c r="LB59" s="301"/>
      <c r="LC59" s="301"/>
      <c r="LD59" s="301"/>
      <c r="LE59" s="301"/>
      <c r="LF59" s="301"/>
      <c r="LG59" s="301"/>
      <c r="LH59" s="301"/>
      <c r="LI59" s="301"/>
      <c r="LJ59" s="301"/>
      <c r="LK59" s="301"/>
      <c r="LL59" s="301"/>
      <c r="LM59" s="301"/>
      <c r="LN59" s="301"/>
      <c r="LO59" s="301"/>
      <c r="LP59" s="301"/>
      <c r="LQ59" s="301"/>
      <c r="LR59" s="301"/>
      <c r="LS59" s="301"/>
      <c r="LT59" s="301"/>
      <c r="LU59" s="301"/>
      <c r="LV59" s="301"/>
      <c r="LW59" s="301"/>
      <c r="LX59" s="301"/>
      <c r="LY59" s="301"/>
      <c r="LZ59" s="301"/>
      <c r="MA59" s="301"/>
      <c r="MB59" s="301"/>
      <c r="MC59" s="301"/>
      <c r="MD59" s="301"/>
      <c r="ME59" s="301"/>
      <c r="MF59" s="301"/>
      <c r="MG59" s="301"/>
      <c r="MH59" s="301"/>
      <c r="MI59" s="301"/>
      <c r="MJ59" s="301"/>
      <c r="MK59" s="301"/>
      <c r="ML59" s="301"/>
      <c r="MM59" s="301"/>
      <c r="MN59" s="301"/>
      <c r="MO59" s="301"/>
      <c r="MP59" s="301"/>
      <c r="MQ59" s="301"/>
      <c r="MR59" s="301"/>
      <c r="MS59" s="301"/>
      <c r="MT59" s="301"/>
      <c r="MU59" s="301"/>
      <c r="MV59" s="301"/>
      <c r="MW59" s="301"/>
      <c r="MX59" s="301"/>
      <c r="MY59" s="301"/>
      <c r="MZ59" s="301"/>
      <c r="NA59" s="301"/>
      <c r="NB59" s="301"/>
      <c r="NC59" s="301"/>
      <c r="ND59" s="301"/>
      <c r="NE59" s="301"/>
      <c r="NF59" s="301"/>
      <c r="NG59" s="301"/>
      <c r="NH59" s="301"/>
      <c r="NI59" s="301"/>
      <c r="NJ59" s="301"/>
      <c r="NK59" s="301"/>
      <c r="NL59" s="301"/>
      <c r="NM59" s="301"/>
      <c r="NN59" s="301"/>
      <c r="NO59" s="301"/>
      <c r="NP59" s="301"/>
      <c r="NQ59" s="301"/>
      <c r="NR59" s="301"/>
      <c r="NS59" s="301"/>
      <c r="NT59" s="301"/>
      <c r="NU59" s="301"/>
      <c r="NV59" s="301"/>
      <c r="NW59" s="301"/>
      <c r="NX59" s="301"/>
      <c r="NY59" s="301"/>
      <c r="NZ59" s="301"/>
      <c r="OA59" s="301"/>
      <c r="OB59" s="301"/>
      <c r="OC59" s="301"/>
      <c r="OD59" s="301"/>
      <c r="OE59" s="301"/>
      <c r="OF59" s="301"/>
      <c r="OG59" s="301"/>
      <c r="OH59" s="301"/>
      <c r="OI59" s="301"/>
      <c r="OJ59" s="301"/>
      <c r="OK59" s="301"/>
      <c r="OL59" s="301"/>
      <c r="OM59" s="301"/>
      <c r="ON59" s="301"/>
      <c r="OO59" s="301"/>
      <c r="OP59" s="301"/>
      <c r="OQ59" s="301"/>
      <c r="OR59" s="301"/>
      <c r="OS59" s="301"/>
      <c r="OT59" s="301"/>
      <c r="OU59" s="301"/>
      <c r="OV59" s="301"/>
      <c r="OW59" s="301"/>
      <c r="OX59" s="301"/>
      <c r="OY59" s="301"/>
      <c r="OZ59" s="301"/>
      <c r="PA59" s="301"/>
      <c r="PB59" s="301"/>
      <c r="PC59" s="301"/>
      <c r="PD59" s="301"/>
      <c r="PE59" s="301"/>
      <c r="PF59" s="301"/>
      <c r="PG59" s="301"/>
      <c r="PH59" s="301"/>
      <c r="PI59" s="301"/>
      <c r="PJ59" s="301"/>
      <c r="PK59" s="301"/>
      <c r="PL59" s="301"/>
      <c r="PM59" s="301"/>
      <c r="PN59" s="301"/>
      <c r="PO59" s="301"/>
      <c r="PP59" s="301"/>
      <c r="PQ59" s="301"/>
      <c r="PR59" s="301"/>
      <c r="PS59" s="301"/>
      <c r="PT59" s="301"/>
      <c r="PU59" s="301"/>
      <c r="PV59" s="301"/>
      <c r="PW59" s="301"/>
      <c r="PX59" s="301"/>
      <c r="PY59" s="301"/>
      <c r="PZ59" s="301"/>
      <c r="QA59" s="301"/>
      <c r="QB59" s="301"/>
      <c r="QC59" s="301"/>
      <c r="QD59" s="301"/>
      <c r="QE59" s="301"/>
      <c r="QF59" s="301"/>
      <c r="QG59" s="301"/>
      <c r="QH59" s="301"/>
      <c r="QI59" s="301"/>
      <c r="QJ59" s="301"/>
      <c r="QK59" s="301"/>
      <c r="QL59" s="301"/>
      <c r="QM59" s="301"/>
      <c r="QN59" s="301"/>
      <c r="QO59" s="301"/>
      <c r="QP59" s="301"/>
      <c r="QQ59" s="301"/>
      <c r="QR59" s="301"/>
      <c r="QS59" s="301"/>
      <c r="QT59" s="301"/>
      <c r="QU59" s="301"/>
      <c r="QV59" s="301"/>
      <c r="QW59" s="301"/>
      <c r="QX59" s="301"/>
      <c r="QY59" s="301"/>
      <c r="QZ59" s="301"/>
      <c r="RA59" s="301"/>
      <c r="RB59" s="301"/>
      <c r="RC59" s="301"/>
      <c r="RD59" s="301"/>
      <c r="RE59" s="301"/>
      <c r="RF59" s="301"/>
      <c r="RG59" s="301"/>
      <c r="RH59" s="301"/>
      <c r="RI59" s="301"/>
      <c r="RJ59" s="301"/>
      <c r="RK59" s="301"/>
      <c r="RL59" s="301"/>
      <c r="RM59" s="301"/>
      <c r="RN59" s="301"/>
      <c r="RO59" s="301"/>
      <c r="RP59" s="301"/>
      <c r="RQ59" s="301"/>
      <c r="RR59" s="301"/>
      <c r="RS59" s="301"/>
      <c r="RT59" s="301"/>
      <c r="RU59" s="301"/>
      <c r="RV59" s="301"/>
      <c r="RW59" s="301"/>
      <c r="RX59" s="301"/>
      <c r="RY59" s="301"/>
      <c r="RZ59" s="301"/>
      <c r="SA59" s="301"/>
      <c r="SB59" s="301"/>
      <c r="SC59" s="301"/>
      <c r="SD59" s="301"/>
      <c r="SE59" s="301"/>
      <c r="SF59" s="301"/>
      <c r="SG59" s="301"/>
      <c r="SH59" s="301"/>
      <c r="SI59" s="301"/>
      <c r="SJ59" s="301"/>
      <c r="SK59" s="301"/>
      <c r="SL59" s="301"/>
      <c r="SM59" s="301"/>
      <c r="SN59" s="301"/>
      <c r="SO59" s="301"/>
      <c r="SP59" s="301"/>
      <c r="SQ59" s="301"/>
      <c r="SR59" s="301"/>
      <c r="SS59" s="301"/>
      <c r="ST59" s="301"/>
      <c r="SU59" s="301"/>
      <c r="SV59" s="301"/>
      <c r="SW59" s="301"/>
      <c r="SX59" s="301"/>
      <c r="SY59" s="301"/>
      <c r="SZ59" s="301"/>
      <c r="TA59" s="301"/>
      <c r="TB59" s="301"/>
      <c r="TC59" s="301"/>
      <c r="TD59" s="301"/>
      <c r="TE59" s="301"/>
      <c r="TF59" s="301"/>
      <c r="TG59" s="301"/>
      <c r="TH59" s="301"/>
      <c r="TI59" s="301"/>
      <c r="TJ59" s="301"/>
      <c r="TK59" s="301"/>
      <c r="TL59" s="301"/>
      <c r="TM59" s="301"/>
      <c r="TN59" s="301"/>
      <c r="TO59" s="301"/>
      <c r="TP59" s="301"/>
      <c r="TQ59" s="301"/>
      <c r="TR59" s="301"/>
      <c r="TS59" s="301"/>
      <c r="TT59" s="301"/>
      <c r="TU59" s="301"/>
      <c r="TV59" s="301"/>
      <c r="TW59" s="301"/>
      <c r="TX59" s="301"/>
      <c r="TY59" s="301"/>
      <c r="TZ59" s="301"/>
      <c r="UA59" s="301"/>
      <c r="UB59" s="301"/>
      <c r="UC59" s="301"/>
      <c r="UD59" s="301"/>
      <c r="UE59" s="301"/>
      <c r="UF59" s="301"/>
      <c r="UG59" s="301"/>
      <c r="UH59" s="301"/>
      <c r="UI59" s="301"/>
      <c r="UJ59" s="301"/>
      <c r="UK59" s="301"/>
      <c r="UL59" s="301"/>
      <c r="UM59" s="301"/>
      <c r="UN59" s="301"/>
      <c r="UO59" s="301"/>
      <c r="UP59" s="301"/>
      <c r="UQ59" s="301"/>
      <c r="UR59" s="301"/>
      <c r="US59" s="301"/>
      <c r="UT59" s="301"/>
      <c r="UU59" s="301"/>
      <c r="UV59" s="301"/>
      <c r="UW59" s="301"/>
      <c r="UX59" s="301"/>
      <c r="UY59" s="301"/>
      <c r="UZ59" s="301"/>
      <c r="VA59" s="301"/>
      <c r="VB59" s="301"/>
      <c r="VC59" s="301"/>
      <c r="VD59" s="301"/>
      <c r="VE59" s="301"/>
      <c r="VF59" s="301"/>
      <c r="VG59" s="301"/>
      <c r="VH59" s="301"/>
      <c r="VI59" s="301"/>
      <c r="VJ59" s="301"/>
      <c r="VK59" s="301"/>
      <c r="VL59" s="301"/>
      <c r="VM59" s="301"/>
      <c r="VN59" s="301"/>
      <c r="VO59" s="301"/>
      <c r="VP59" s="301"/>
      <c r="VQ59" s="301"/>
      <c r="VR59" s="301"/>
      <c r="VS59" s="301"/>
      <c r="VT59" s="301"/>
      <c r="VU59" s="301"/>
      <c r="VV59" s="301"/>
      <c r="VW59" s="301"/>
      <c r="VX59" s="301"/>
      <c r="VY59" s="301"/>
      <c r="VZ59" s="301"/>
      <c r="WA59" s="301"/>
      <c r="WB59" s="301"/>
      <c r="WC59" s="301"/>
      <c r="WD59" s="301"/>
      <c r="WE59" s="301"/>
      <c r="WF59" s="301"/>
      <c r="WG59" s="301"/>
      <c r="WH59" s="301"/>
      <c r="WI59" s="301"/>
      <c r="WJ59" s="301"/>
      <c r="WK59" s="301"/>
      <c r="WL59" s="301"/>
      <c r="WM59" s="301"/>
      <c r="WN59" s="301"/>
      <c r="WO59" s="301"/>
      <c r="WP59" s="301"/>
      <c r="WQ59" s="301"/>
      <c r="WR59" s="301"/>
      <c r="WS59" s="301"/>
      <c r="WT59" s="301"/>
      <c r="WU59" s="301"/>
      <c r="WV59" s="301"/>
      <c r="WW59" s="301"/>
      <c r="WX59" s="301"/>
      <c r="WY59" s="301"/>
      <c r="WZ59" s="301"/>
      <c r="XA59" s="301"/>
      <c r="XB59" s="301"/>
      <c r="XC59" s="301"/>
      <c r="XD59" s="301"/>
      <c r="XE59" s="301"/>
      <c r="XF59" s="301"/>
      <c r="XG59" s="301"/>
      <c r="XH59" s="301"/>
      <c r="XI59" s="301"/>
      <c r="XJ59" s="301"/>
      <c r="XK59" s="301"/>
      <c r="XL59" s="301"/>
      <c r="XM59" s="301"/>
      <c r="XN59" s="301"/>
      <c r="XO59" s="301"/>
      <c r="XP59" s="301"/>
      <c r="XQ59" s="301"/>
      <c r="XR59" s="301"/>
      <c r="XS59" s="301"/>
      <c r="XT59" s="301"/>
      <c r="XU59" s="301"/>
      <c r="XV59" s="301"/>
      <c r="XW59" s="301"/>
      <c r="XX59" s="301"/>
      <c r="XY59" s="301"/>
      <c r="XZ59" s="301"/>
      <c r="YA59" s="301"/>
      <c r="YB59" s="301"/>
      <c r="YC59" s="301"/>
      <c r="YD59" s="301"/>
      <c r="YE59" s="301"/>
      <c r="YF59" s="301"/>
      <c r="YG59" s="301"/>
      <c r="YH59" s="301"/>
      <c r="YI59" s="301"/>
      <c r="YJ59" s="301"/>
      <c r="YK59" s="301"/>
      <c r="YL59" s="301"/>
      <c r="YM59" s="301"/>
      <c r="YN59" s="301"/>
      <c r="YO59" s="301"/>
      <c r="YP59" s="301"/>
      <c r="YQ59" s="301"/>
      <c r="YR59" s="301"/>
      <c r="YS59" s="301"/>
      <c r="YT59" s="301"/>
      <c r="YU59" s="301"/>
      <c r="YV59" s="301"/>
      <c r="YW59" s="301"/>
      <c r="YX59" s="301"/>
      <c r="YY59" s="301"/>
      <c r="YZ59" s="301"/>
      <c r="ZA59" s="301"/>
      <c r="ZB59" s="301"/>
      <c r="ZC59" s="301"/>
      <c r="ZD59" s="301"/>
      <c r="ZE59" s="301"/>
      <c r="ZF59" s="301"/>
      <c r="ZG59" s="301"/>
      <c r="ZH59" s="301"/>
      <c r="ZI59" s="301"/>
      <c r="ZJ59" s="301"/>
      <c r="ZK59" s="301"/>
      <c r="ZL59" s="301"/>
      <c r="ZM59" s="301"/>
      <c r="ZN59" s="301"/>
      <c r="ZO59" s="301"/>
      <c r="ZP59" s="301"/>
      <c r="ZQ59" s="301"/>
      <c r="ZR59" s="301"/>
      <c r="ZS59" s="301"/>
      <c r="ZT59" s="301"/>
      <c r="ZU59" s="301"/>
      <c r="ZV59" s="301"/>
      <c r="ZW59" s="301"/>
      <c r="ZX59" s="301"/>
      <c r="ZY59" s="301"/>
      <c r="ZZ59" s="301"/>
      <c r="AAA59" s="301"/>
      <c r="AAB59" s="301"/>
      <c r="AAC59" s="301"/>
      <c r="AAD59" s="301"/>
      <c r="AAE59" s="301"/>
      <c r="AAF59" s="301"/>
      <c r="AAG59" s="301"/>
      <c r="AAH59" s="301"/>
      <c r="AAI59" s="301"/>
      <c r="AAJ59" s="301"/>
      <c r="AAK59" s="301"/>
      <c r="AAL59" s="301"/>
      <c r="AAM59" s="301"/>
      <c r="AAN59" s="301"/>
      <c r="AAO59" s="301"/>
      <c r="AAP59" s="301"/>
      <c r="AAQ59" s="301"/>
      <c r="AAR59" s="301"/>
      <c r="AAS59" s="301"/>
      <c r="AAT59" s="301"/>
      <c r="AAU59" s="301"/>
      <c r="AAV59" s="301"/>
      <c r="AAW59" s="301"/>
      <c r="AAX59" s="301"/>
      <c r="AAY59" s="301"/>
      <c r="AAZ59" s="301"/>
      <c r="ABA59" s="301"/>
      <c r="ABB59" s="301"/>
      <c r="ABC59" s="301"/>
      <c r="ABD59" s="301"/>
      <c r="ABE59" s="301"/>
      <c r="ABF59" s="301"/>
      <c r="ABG59" s="301"/>
      <c r="ABH59" s="301"/>
      <c r="ABI59" s="301"/>
      <c r="ABJ59" s="301"/>
      <c r="ABK59" s="301"/>
      <c r="ABL59" s="301"/>
      <c r="ABM59" s="301"/>
      <c r="ABN59" s="301"/>
      <c r="ABO59" s="301"/>
      <c r="ABP59" s="301"/>
      <c r="ABQ59" s="301"/>
      <c r="ABR59" s="301"/>
      <c r="ABS59" s="301"/>
      <c r="ABT59" s="301"/>
      <c r="ABU59" s="301"/>
      <c r="ABV59" s="301"/>
      <c r="ABW59" s="301"/>
      <c r="ABX59" s="301"/>
      <c r="ABY59" s="301"/>
      <c r="ABZ59" s="301"/>
      <c r="ACA59" s="301"/>
      <c r="ACB59" s="301"/>
      <c r="ACC59" s="301"/>
      <c r="ACD59" s="301"/>
      <c r="ACE59" s="301"/>
      <c r="ACF59" s="301"/>
      <c r="ACG59" s="301"/>
      <c r="ACH59" s="301"/>
      <c r="ACI59" s="301"/>
      <c r="ACJ59" s="301"/>
      <c r="ACK59" s="301"/>
      <c r="ACL59" s="301"/>
      <c r="ACM59" s="301"/>
      <c r="ACN59" s="301"/>
      <c r="ACO59" s="301"/>
      <c r="ACP59" s="301"/>
      <c r="ACQ59" s="301"/>
      <c r="ACR59" s="301"/>
      <c r="ACS59" s="301"/>
      <c r="ACT59" s="301"/>
      <c r="ACU59" s="301"/>
      <c r="ACV59" s="301"/>
      <c r="ACW59" s="301"/>
      <c r="ACX59" s="301"/>
      <c r="ACY59" s="301"/>
      <c r="ACZ59" s="301"/>
      <c r="ADA59" s="301"/>
      <c r="ADB59" s="301"/>
      <c r="ADC59" s="301"/>
      <c r="ADD59" s="301"/>
      <c r="ADE59" s="301"/>
      <c r="ADF59" s="301"/>
      <c r="ADG59" s="301"/>
      <c r="ADH59" s="301"/>
      <c r="ADI59" s="301"/>
      <c r="ADJ59" s="301"/>
      <c r="ADK59" s="301"/>
      <c r="ADL59" s="301"/>
      <c r="ADM59" s="301"/>
      <c r="ADN59" s="301"/>
      <c r="ADO59" s="301"/>
      <c r="ADP59" s="301"/>
      <c r="ADQ59" s="301"/>
      <c r="ADR59" s="301"/>
      <c r="ADS59" s="301"/>
      <c r="ADT59" s="301"/>
      <c r="ADU59" s="301"/>
      <c r="ADV59" s="301"/>
      <c r="ADW59" s="301"/>
      <c r="ADX59" s="301"/>
      <c r="ADY59" s="301"/>
      <c r="ADZ59" s="301"/>
      <c r="AEA59" s="301"/>
      <c r="AEB59" s="301"/>
      <c r="AEC59" s="301"/>
      <c r="AED59" s="301"/>
      <c r="AEE59" s="301"/>
      <c r="AEF59" s="301"/>
      <c r="AEG59" s="301"/>
      <c r="AEH59" s="301"/>
      <c r="AEI59" s="301"/>
      <c r="AEJ59" s="301"/>
      <c r="AEK59" s="301"/>
      <c r="AEL59" s="301"/>
      <c r="AEM59" s="301"/>
      <c r="AEN59" s="301"/>
      <c r="AEO59" s="301"/>
      <c r="AEP59" s="301"/>
      <c r="AEQ59" s="301"/>
      <c r="AER59" s="301"/>
      <c r="AES59" s="301"/>
      <c r="AET59" s="301"/>
      <c r="AEU59" s="301"/>
      <c r="AEV59" s="301"/>
      <c r="AEW59" s="301"/>
      <c r="AEX59" s="301"/>
      <c r="AEY59" s="301"/>
      <c r="AEZ59" s="301"/>
      <c r="AFA59" s="301"/>
      <c r="AFB59" s="301"/>
      <c r="AFC59" s="301"/>
      <c r="AFD59" s="301"/>
      <c r="AFE59" s="301"/>
      <c r="AFF59" s="301"/>
      <c r="AFG59" s="301"/>
      <c r="AFH59" s="301"/>
      <c r="AFI59" s="301"/>
      <c r="AFJ59" s="301"/>
      <c r="AFK59" s="301"/>
      <c r="AFL59" s="301"/>
      <c r="AFM59" s="301"/>
      <c r="AFN59" s="301"/>
      <c r="AFO59" s="301"/>
      <c r="AFP59" s="301"/>
      <c r="AFQ59" s="301"/>
      <c r="AFR59" s="301"/>
      <c r="AFS59" s="301"/>
      <c r="AFT59" s="301"/>
      <c r="AFU59" s="301"/>
      <c r="AFV59" s="301"/>
      <c r="AFW59" s="301"/>
      <c r="AFX59" s="301"/>
      <c r="AFY59" s="301"/>
      <c r="AFZ59" s="301"/>
      <c r="AGA59" s="301"/>
      <c r="AGB59" s="301"/>
      <c r="AGC59" s="301"/>
      <c r="AGD59" s="301"/>
      <c r="AGE59" s="301"/>
      <c r="AGF59" s="301"/>
      <c r="AGG59" s="301"/>
      <c r="AGH59" s="301"/>
      <c r="AGI59" s="301"/>
      <c r="AGJ59" s="301"/>
      <c r="AGK59" s="301"/>
      <c r="AGL59" s="301"/>
      <c r="AGM59" s="301"/>
      <c r="AGN59" s="301"/>
      <c r="AGO59" s="301"/>
      <c r="AGP59" s="301"/>
      <c r="AGQ59" s="301"/>
      <c r="AGR59" s="301"/>
      <c r="AGS59" s="301"/>
      <c r="AGT59" s="301"/>
      <c r="AGU59" s="301"/>
      <c r="AGV59" s="301"/>
      <c r="AGW59" s="301"/>
      <c r="AGX59" s="301"/>
      <c r="AGY59" s="301"/>
      <c r="AGZ59" s="301"/>
      <c r="AHA59" s="301"/>
      <c r="AHB59" s="301"/>
      <c r="AHC59" s="301"/>
      <c r="AHD59" s="301"/>
      <c r="AHE59" s="301"/>
      <c r="AHF59" s="301"/>
      <c r="AHG59" s="301"/>
      <c r="AHH59" s="301"/>
      <c r="AHI59" s="301"/>
      <c r="AHJ59" s="301"/>
      <c r="AHK59" s="301"/>
      <c r="AHL59" s="301"/>
      <c r="AHM59" s="301"/>
      <c r="AHN59" s="301"/>
      <c r="AHO59" s="301"/>
      <c r="AHP59" s="301"/>
      <c r="AHQ59" s="301"/>
      <c r="AHR59" s="301"/>
      <c r="AHS59" s="301"/>
      <c r="AHT59" s="301"/>
      <c r="AHU59" s="301"/>
      <c r="AHV59" s="301"/>
      <c r="AHW59" s="301"/>
      <c r="AHX59" s="301"/>
      <c r="AHY59" s="301"/>
      <c r="AHZ59" s="301"/>
      <c r="AIA59" s="301"/>
      <c r="AIB59" s="301"/>
      <c r="AIC59" s="301"/>
      <c r="AID59" s="301"/>
      <c r="AIE59" s="301"/>
      <c r="AIF59" s="301"/>
      <c r="AIG59" s="301"/>
      <c r="AIH59" s="301"/>
      <c r="AII59" s="301"/>
      <c r="AIJ59" s="301"/>
      <c r="AIK59" s="301"/>
      <c r="AIL59" s="301"/>
      <c r="AIM59" s="301"/>
      <c r="AIN59" s="301"/>
      <c r="AIO59" s="301"/>
      <c r="AIP59" s="301"/>
      <c r="AIQ59" s="301"/>
      <c r="AIR59" s="301"/>
      <c r="AIS59" s="301"/>
      <c r="AIT59" s="301"/>
      <c r="AIU59" s="301"/>
      <c r="AIV59" s="301"/>
      <c r="AIW59" s="301"/>
      <c r="AIX59" s="301"/>
      <c r="AIY59" s="301"/>
      <c r="AIZ59" s="301"/>
      <c r="AJA59" s="301"/>
      <c r="AJB59" s="301"/>
      <c r="AJC59" s="301"/>
      <c r="AJD59" s="301"/>
      <c r="AJE59" s="301"/>
      <c r="AJF59" s="301"/>
      <c r="AJG59" s="301"/>
      <c r="AJH59" s="301"/>
      <c r="AJI59" s="301"/>
      <c r="AJJ59" s="301"/>
      <c r="AJK59" s="301"/>
      <c r="AJL59" s="301"/>
      <c r="AJM59" s="301"/>
      <c r="AJN59" s="301"/>
      <c r="AJO59" s="301"/>
      <c r="AJP59" s="301"/>
      <c r="AJQ59" s="301"/>
      <c r="AJR59" s="301"/>
      <c r="AJS59" s="301"/>
      <c r="AJT59" s="301"/>
      <c r="AJU59" s="301"/>
      <c r="AJV59" s="301"/>
      <c r="AJW59" s="301"/>
      <c r="AJX59" s="301"/>
      <c r="AJY59" s="301"/>
      <c r="AJZ59" s="301"/>
      <c r="AKA59" s="301"/>
      <c r="AKB59" s="301"/>
      <c r="AKC59" s="301"/>
      <c r="AKD59" s="301"/>
      <c r="AKE59" s="301"/>
      <c r="AKF59" s="301"/>
      <c r="AKG59" s="301"/>
      <c r="AKH59" s="301"/>
      <c r="AKI59" s="301"/>
      <c r="AKJ59" s="301"/>
      <c r="AKK59" s="301"/>
      <c r="AKL59" s="301"/>
      <c r="AKM59" s="301"/>
      <c r="AKN59" s="301"/>
      <c r="AKO59" s="301"/>
      <c r="AKP59" s="301"/>
      <c r="AKQ59" s="301"/>
      <c r="AKR59" s="301"/>
      <c r="AKS59" s="301"/>
      <c r="AKT59" s="301"/>
      <c r="AKU59" s="301"/>
      <c r="AKV59" s="301"/>
      <c r="AKW59" s="301"/>
      <c r="AKX59" s="301"/>
      <c r="AKY59" s="301"/>
      <c r="AKZ59" s="301"/>
      <c r="ALA59" s="301"/>
      <c r="ALB59" s="301"/>
      <c r="ALC59" s="301"/>
      <c r="ALD59" s="301"/>
      <c r="ALE59" s="301"/>
      <c r="ALF59" s="301"/>
      <c r="ALG59" s="301"/>
      <c r="ALH59" s="301"/>
      <c r="ALI59" s="301"/>
      <c r="ALJ59" s="301"/>
      <c r="ALK59" s="301"/>
      <c r="ALL59" s="301"/>
      <c r="ALM59" s="301"/>
      <c r="ALN59" s="301"/>
      <c r="ALO59" s="301"/>
      <c r="ALP59" s="301"/>
      <c r="ALQ59" s="301"/>
      <c r="ALR59" s="301"/>
      <c r="ALS59" s="301"/>
      <c r="ALT59" s="301"/>
      <c r="ALU59" s="301"/>
      <c r="ALV59" s="301"/>
      <c r="ALW59" s="301"/>
      <c r="ALX59" s="301"/>
      <c r="ALY59" s="301"/>
      <c r="ALZ59" s="301"/>
      <c r="AMA59" s="301"/>
      <c r="AMB59" s="301"/>
      <c r="AMC59" s="301"/>
      <c r="AMD59" s="301"/>
      <c r="AME59" s="301"/>
      <c r="AMF59" s="301"/>
      <c r="AMG59" s="301"/>
      <c r="AMH59" s="1"/>
      <c r="AMI59" s="1"/>
      <c r="AMJ59" s="1"/>
    </row>
    <row r="60" customFormat="false" ht="15" hidden="false" customHeight="true" outlineLevel="0" collapsed="false">
      <c r="A60" s="335" t="s">
        <v>228</v>
      </c>
      <c r="B60" s="336"/>
      <c r="C60" s="336"/>
      <c r="D60" s="336"/>
      <c r="E60" s="336"/>
      <c r="F60" s="336"/>
      <c r="G60" s="337" t="n">
        <f aca="false">IF(SUM(J18),J18,0)</f>
        <v>180</v>
      </c>
      <c r="H60" s="337"/>
      <c r="I60" s="337" t="n">
        <f aca="false">G60/12</f>
        <v>15</v>
      </c>
      <c r="J60" s="337"/>
      <c r="K60" s="337"/>
      <c r="L60" s="301"/>
      <c r="M60" s="301"/>
      <c r="N60" s="301"/>
      <c r="O60" s="301"/>
      <c r="P60" s="301"/>
      <c r="Q60" s="301"/>
      <c r="R60" s="301"/>
      <c r="S60" s="301"/>
      <c r="T60" s="301"/>
      <c r="U60" s="301"/>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301"/>
      <c r="BP60" s="301"/>
      <c r="BQ60" s="301"/>
      <c r="BR60" s="301"/>
      <c r="BS60" s="301"/>
      <c r="BT60" s="301"/>
      <c r="BU60" s="301"/>
      <c r="BV60" s="301"/>
      <c r="BW60" s="301"/>
      <c r="BX60" s="301"/>
      <c r="BY60" s="301"/>
      <c r="BZ60" s="301"/>
      <c r="CA60" s="301"/>
      <c r="CB60" s="301"/>
      <c r="CC60" s="301"/>
      <c r="CD60" s="301"/>
      <c r="CE60" s="301"/>
      <c r="CF60" s="301"/>
      <c r="CG60" s="301"/>
      <c r="CH60" s="301"/>
      <c r="CI60" s="301"/>
      <c r="CJ60" s="301"/>
      <c r="CK60" s="301"/>
      <c r="CL60" s="301"/>
      <c r="CM60" s="301"/>
      <c r="CN60" s="301"/>
      <c r="CO60" s="301"/>
      <c r="CP60" s="301"/>
      <c r="CQ60" s="301"/>
      <c r="CR60" s="301"/>
      <c r="CS60" s="301"/>
      <c r="CT60" s="301"/>
      <c r="CU60" s="301"/>
      <c r="CV60" s="301"/>
      <c r="CW60" s="301"/>
      <c r="CX60" s="301"/>
      <c r="CY60" s="301"/>
      <c r="CZ60" s="301"/>
      <c r="DA60" s="301"/>
      <c r="DB60" s="301"/>
      <c r="DC60" s="301"/>
      <c r="DD60" s="301"/>
      <c r="DE60" s="301"/>
      <c r="DF60" s="301"/>
      <c r="DG60" s="301"/>
      <c r="DH60" s="301"/>
      <c r="DI60" s="301"/>
      <c r="DJ60" s="301"/>
      <c r="DK60" s="301"/>
      <c r="DL60" s="301"/>
      <c r="DM60" s="301"/>
      <c r="DN60" s="301"/>
      <c r="DO60" s="301"/>
      <c r="DP60" s="301"/>
      <c r="DQ60" s="301"/>
      <c r="DR60" s="301"/>
      <c r="DS60" s="301"/>
      <c r="DT60" s="301"/>
      <c r="DU60" s="301"/>
      <c r="DV60" s="301"/>
      <c r="DW60" s="301"/>
      <c r="DX60" s="301"/>
      <c r="DY60" s="301"/>
      <c r="DZ60" s="301"/>
      <c r="EA60" s="301"/>
      <c r="EB60" s="301"/>
      <c r="EC60" s="301"/>
      <c r="ED60" s="301"/>
      <c r="EE60" s="301"/>
      <c r="EF60" s="301"/>
      <c r="EG60" s="301"/>
      <c r="EH60" s="301"/>
      <c r="EI60" s="301"/>
      <c r="EJ60" s="301"/>
      <c r="EK60" s="301"/>
      <c r="EL60" s="301"/>
      <c r="EM60" s="301"/>
      <c r="EN60" s="301"/>
      <c r="EO60" s="301"/>
      <c r="EP60" s="301"/>
      <c r="EQ60" s="301"/>
      <c r="ER60" s="301"/>
      <c r="ES60" s="301"/>
      <c r="ET60" s="301"/>
      <c r="EU60" s="301"/>
      <c r="EV60" s="301"/>
      <c r="EW60" s="301"/>
      <c r="EX60" s="301"/>
      <c r="EY60" s="301"/>
      <c r="EZ60" s="301"/>
      <c r="FA60" s="301"/>
      <c r="FB60" s="301"/>
      <c r="FC60" s="301"/>
      <c r="FD60" s="301"/>
      <c r="FE60" s="301"/>
      <c r="FF60" s="301"/>
      <c r="FG60" s="301"/>
      <c r="FH60" s="301"/>
      <c r="FI60" s="301"/>
      <c r="FJ60" s="301"/>
      <c r="FK60" s="301"/>
      <c r="FL60" s="301"/>
      <c r="FM60" s="301"/>
      <c r="FN60" s="301"/>
      <c r="FO60" s="301"/>
      <c r="FP60" s="301"/>
      <c r="FQ60" s="301"/>
      <c r="FR60" s="301"/>
      <c r="FS60" s="301"/>
      <c r="FT60" s="301"/>
      <c r="FU60" s="301"/>
      <c r="FV60" s="301"/>
      <c r="FW60" s="301"/>
      <c r="FX60" s="301"/>
      <c r="FY60" s="301"/>
      <c r="FZ60" s="301"/>
      <c r="GA60" s="301"/>
      <c r="GB60" s="301"/>
      <c r="GC60" s="301"/>
      <c r="GD60" s="301"/>
      <c r="GE60" s="301"/>
      <c r="GF60" s="301"/>
      <c r="GG60" s="301"/>
      <c r="GH60" s="301"/>
      <c r="GI60" s="301"/>
      <c r="GJ60" s="301"/>
      <c r="GK60" s="301"/>
      <c r="GL60" s="301"/>
      <c r="GM60" s="301"/>
      <c r="GN60" s="301"/>
      <c r="GO60" s="301"/>
      <c r="GP60" s="301"/>
      <c r="GQ60" s="301"/>
      <c r="GR60" s="301"/>
      <c r="GS60" s="301"/>
      <c r="GT60" s="301"/>
      <c r="GU60" s="301"/>
      <c r="GV60" s="301"/>
      <c r="GW60" s="301"/>
      <c r="GX60" s="301"/>
      <c r="GY60" s="301"/>
      <c r="GZ60" s="301"/>
      <c r="HA60" s="301"/>
      <c r="HB60" s="301"/>
      <c r="HC60" s="301"/>
      <c r="HD60" s="301"/>
      <c r="HE60" s="301"/>
      <c r="HF60" s="301"/>
      <c r="HG60" s="301"/>
      <c r="HH60" s="301"/>
      <c r="HI60" s="301"/>
      <c r="HJ60" s="301"/>
      <c r="HK60" s="301"/>
      <c r="HL60" s="301"/>
      <c r="HM60" s="301"/>
      <c r="HN60" s="301"/>
      <c r="HO60" s="301"/>
      <c r="HP60" s="301"/>
      <c r="HQ60" s="301"/>
      <c r="HR60" s="301"/>
      <c r="HS60" s="301"/>
      <c r="HT60" s="301"/>
      <c r="HU60" s="301"/>
      <c r="HV60" s="301"/>
      <c r="HW60" s="301"/>
      <c r="HX60" s="301"/>
      <c r="HY60" s="301"/>
      <c r="HZ60" s="301"/>
      <c r="IA60" s="301"/>
      <c r="IB60" s="301"/>
      <c r="IC60" s="301"/>
      <c r="ID60" s="301"/>
      <c r="IE60" s="301"/>
      <c r="IF60" s="301"/>
      <c r="IG60" s="301"/>
      <c r="IH60" s="301"/>
      <c r="II60" s="301"/>
      <c r="IJ60" s="301"/>
      <c r="IK60" s="301"/>
      <c r="IL60" s="301"/>
      <c r="IM60" s="301"/>
      <c r="IN60" s="301"/>
      <c r="IO60" s="301"/>
      <c r="IP60" s="301"/>
      <c r="IQ60" s="301"/>
      <c r="IR60" s="301"/>
      <c r="IS60" s="301"/>
      <c r="IT60" s="301"/>
      <c r="IU60" s="301"/>
      <c r="IV60" s="301"/>
      <c r="IW60" s="301"/>
      <c r="IX60" s="301"/>
      <c r="IY60" s="301"/>
      <c r="IZ60" s="301"/>
      <c r="JA60" s="301"/>
      <c r="JB60" s="301"/>
      <c r="JC60" s="301"/>
      <c r="JD60" s="301"/>
      <c r="JE60" s="301"/>
      <c r="JF60" s="301"/>
      <c r="JG60" s="301"/>
      <c r="JH60" s="301"/>
      <c r="JI60" s="301"/>
      <c r="JJ60" s="301"/>
      <c r="JK60" s="301"/>
      <c r="JL60" s="301"/>
      <c r="JM60" s="301"/>
      <c r="JN60" s="301"/>
      <c r="JO60" s="301"/>
      <c r="JP60" s="301"/>
      <c r="JQ60" s="301"/>
      <c r="JR60" s="301"/>
      <c r="JS60" s="301"/>
      <c r="JT60" s="301"/>
      <c r="JU60" s="301"/>
      <c r="JV60" s="301"/>
      <c r="JW60" s="301"/>
      <c r="JX60" s="301"/>
      <c r="JY60" s="301"/>
      <c r="JZ60" s="301"/>
      <c r="KA60" s="301"/>
      <c r="KB60" s="301"/>
      <c r="KC60" s="301"/>
      <c r="KD60" s="301"/>
      <c r="KE60" s="301"/>
      <c r="KF60" s="301"/>
      <c r="KG60" s="301"/>
      <c r="KH60" s="301"/>
      <c r="KI60" s="301"/>
      <c r="KJ60" s="301"/>
      <c r="KK60" s="301"/>
      <c r="KL60" s="301"/>
      <c r="KM60" s="301"/>
      <c r="KN60" s="301"/>
      <c r="KO60" s="301"/>
      <c r="KP60" s="301"/>
      <c r="KQ60" s="301"/>
      <c r="KR60" s="301"/>
      <c r="KS60" s="301"/>
      <c r="KT60" s="301"/>
      <c r="KU60" s="301"/>
      <c r="KV60" s="301"/>
      <c r="KW60" s="301"/>
      <c r="KX60" s="301"/>
      <c r="KY60" s="301"/>
      <c r="KZ60" s="301"/>
      <c r="LA60" s="301"/>
      <c r="LB60" s="301"/>
      <c r="LC60" s="301"/>
      <c r="LD60" s="301"/>
      <c r="LE60" s="301"/>
      <c r="LF60" s="301"/>
      <c r="LG60" s="301"/>
      <c r="LH60" s="301"/>
      <c r="LI60" s="301"/>
      <c r="LJ60" s="301"/>
      <c r="LK60" s="301"/>
      <c r="LL60" s="301"/>
      <c r="LM60" s="301"/>
      <c r="LN60" s="301"/>
      <c r="LO60" s="301"/>
      <c r="LP60" s="301"/>
      <c r="LQ60" s="301"/>
      <c r="LR60" s="301"/>
      <c r="LS60" s="301"/>
      <c r="LT60" s="301"/>
      <c r="LU60" s="301"/>
      <c r="LV60" s="301"/>
      <c r="LW60" s="301"/>
      <c r="LX60" s="301"/>
      <c r="LY60" s="301"/>
      <c r="LZ60" s="301"/>
      <c r="MA60" s="301"/>
      <c r="MB60" s="301"/>
      <c r="MC60" s="301"/>
      <c r="MD60" s="301"/>
      <c r="ME60" s="301"/>
      <c r="MF60" s="301"/>
      <c r="MG60" s="301"/>
      <c r="MH60" s="301"/>
      <c r="MI60" s="301"/>
      <c r="MJ60" s="301"/>
      <c r="MK60" s="301"/>
      <c r="ML60" s="301"/>
      <c r="MM60" s="301"/>
      <c r="MN60" s="301"/>
      <c r="MO60" s="301"/>
      <c r="MP60" s="301"/>
      <c r="MQ60" s="301"/>
      <c r="MR60" s="301"/>
      <c r="MS60" s="301"/>
      <c r="MT60" s="301"/>
      <c r="MU60" s="301"/>
      <c r="MV60" s="301"/>
      <c r="MW60" s="301"/>
      <c r="MX60" s="301"/>
      <c r="MY60" s="301"/>
      <c r="MZ60" s="301"/>
      <c r="NA60" s="301"/>
      <c r="NB60" s="301"/>
      <c r="NC60" s="301"/>
      <c r="ND60" s="301"/>
      <c r="NE60" s="301"/>
      <c r="NF60" s="301"/>
      <c r="NG60" s="301"/>
      <c r="NH60" s="301"/>
      <c r="NI60" s="301"/>
      <c r="NJ60" s="301"/>
      <c r="NK60" s="301"/>
      <c r="NL60" s="301"/>
      <c r="NM60" s="301"/>
      <c r="NN60" s="301"/>
      <c r="NO60" s="301"/>
      <c r="NP60" s="301"/>
      <c r="NQ60" s="301"/>
      <c r="NR60" s="301"/>
      <c r="NS60" s="301"/>
      <c r="NT60" s="301"/>
      <c r="NU60" s="301"/>
      <c r="NV60" s="301"/>
      <c r="NW60" s="301"/>
      <c r="NX60" s="301"/>
      <c r="NY60" s="301"/>
      <c r="NZ60" s="301"/>
      <c r="OA60" s="301"/>
      <c r="OB60" s="301"/>
      <c r="OC60" s="301"/>
      <c r="OD60" s="301"/>
      <c r="OE60" s="301"/>
      <c r="OF60" s="301"/>
      <c r="OG60" s="301"/>
      <c r="OH60" s="301"/>
      <c r="OI60" s="301"/>
      <c r="OJ60" s="301"/>
      <c r="OK60" s="301"/>
      <c r="OL60" s="301"/>
      <c r="OM60" s="301"/>
      <c r="ON60" s="301"/>
      <c r="OO60" s="301"/>
      <c r="OP60" s="301"/>
      <c r="OQ60" s="301"/>
      <c r="OR60" s="301"/>
      <c r="OS60" s="301"/>
      <c r="OT60" s="301"/>
      <c r="OU60" s="301"/>
      <c r="OV60" s="301"/>
      <c r="OW60" s="301"/>
      <c r="OX60" s="301"/>
      <c r="OY60" s="301"/>
      <c r="OZ60" s="301"/>
      <c r="PA60" s="301"/>
      <c r="PB60" s="301"/>
      <c r="PC60" s="301"/>
      <c r="PD60" s="301"/>
      <c r="PE60" s="301"/>
      <c r="PF60" s="301"/>
      <c r="PG60" s="301"/>
      <c r="PH60" s="301"/>
      <c r="PI60" s="301"/>
      <c r="PJ60" s="301"/>
      <c r="PK60" s="301"/>
      <c r="PL60" s="301"/>
      <c r="PM60" s="301"/>
      <c r="PN60" s="301"/>
      <c r="PO60" s="301"/>
      <c r="PP60" s="301"/>
      <c r="PQ60" s="301"/>
      <c r="PR60" s="301"/>
      <c r="PS60" s="301"/>
      <c r="PT60" s="301"/>
      <c r="PU60" s="301"/>
      <c r="PV60" s="301"/>
      <c r="PW60" s="301"/>
      <c r="PX60" s="301"/>
      <c r="PY60" s="301"/>
      <c r="PZ60" s="301"/>
      <c r="QA60" s="301"/>
      <c r="QB60" s="301"/>
      <c r="QC60" s="301"/>
      <c r="QD60" s="301"/>
      <c r="QE60" s="301"/>
      <c r="QF60" s="301"/>
      <c r="QG60" s="301"/>
      <c r="QH60" s="301"/>
      <c r="QI60" s="301"/>
      <c r="QJ60" s="301"/>
      <c r="QK60" s="301"/>
      <c r="QL60" s="301"/>
      <c r="QM60" s="301"/>
      <c r="QN60" s="301"/>
      <c r="QO60" s="301"/>
      <c r="QP60" s="301"/>
      <c r="QQ60" s="301"/>
      <c r="QR60" s="301"/>
      <c r="QS60" s="301"/>
      <c r="QT60" s="301"/>
      <c r="QU60" s="301"/>
      <c r="QV60" s="301"/>
      <c r="QW60" s="301"/>
      <c r="QX60" s="301"/>
      <c r="QY60" s="301"/>
      <c r="QZ60" s="301"/>
      <c r="RA60" s="301"/>
      <c r="RB60" s="301"/>
      <c r="RC60" s="301"/>
      <c r="RD60" s="301"/>
      <c r="RE60" s="301"/>
      <c r="RF60" s="301"/>
      <c r="RG60" s="301"/>
      <c r="RH60" s="301"/>
      <c r="RI60" s="301"/>
      <c r="RJ60" s="301"/>
      <c r="RK60" s="301"/>
      <c r="RL60" s="301"/>
      <c r="RM60" s="301"/>
      <c r="RN60" s="301"/>
      <c r="RO60" s="301"/>
      <c r="RP60" s="301"/>
      <c r="RQ60" s="301"/>
      <c r="RR60" s="301"/>
      <c r="RS60" s="301"/>
      <c r="RT60" s="301"/>
      <c r="RU60" s="301"/>
      <c r="RV60" s="301"/>
      <c r="RW60" s="301"/>
      <c r="RX60" s="301"/>
      <c r="RY60" s="301"/>
      <c r="RZ60" s="301"/>
      <c r="SA60" s="301"/>
      <c r="SB60" s="301"/>
      <c r="SC60" s="301"/>
      <c r="SD60" s="301"/>
      <c r="SE60" s="301"/>
      <c r="SF60" s="301"/>
      <c r="SG60" s="301"/>
      <c r="SH60" s="301"/>
      <c r="SI60" s="301"/>
      <c r="SJ60" s="301"/>
      <c r="SK60" s="301"/>
      <c r="SL60" s="301"/>
      <c r="SM60" s="301"/>
      <c r="SN60" s="301"/>
      <c r="SO60" s="301"/>
      <c r="SP60" s="301"/>
      <c r="SQ60" s="301"/>
      <c r="SR60" s="301"/>
      <c r="SS60" s="301"/>
      <c r="ST60" s="301"/>
      <c r="SU60" s="301"/>
      <c r="SV60" s="301"/>
      <c r="SW60" s="301"/>
      <c r="SX60" s="301"/>
      <c r="SY60" s="301"/>
      <c r="SZ60" s="301"/>
      <c r="TA60" s="301"/>
      <c r="TB60" s="301"/>
      <c r="TC60" s="301"/>
      <c r="TD60" s="301"/>
      <c r="TE60" s="301"/>
      <c r="TF60" s="301"/>
      <c r="TG60" s="301"/>
      <c r="TH60" s="301"/>
      <c r="TI60" s="301"/>
      <c r="TJ60" s="301"/>
      <c r="TK60" s="301"/>
      <c r="TL60" s="301"/>
      <c r="TM60" s="301"/>
      <c r="TN60" s="301"/>
      <c r="TO60" s="301"/>
      <c r="TP60" s="301"/>
      <c r="TQ60" s="301"/>
      <c r="TR60" s="301"/>
      <c r="TS60" s="301"/>
      <c r="TT60" s="301"/>
      <c r="TU60" s="301"/>
      <c r="TV60" s="301"/>
      <c r="TW60" s="301"/>
      <c r="TX60" s="301"/>
      <c r="TY60" s="301"/>
      <c r="TZ60" s="301"/>
      <c r="UA60" s="301"/>
      <c r="UB60" s="301"/>
      <c r="UC60" s="301"/>
      <c r="UD60" s="301"/>
      <c r="UE60" s="301"/>
      <c r="UF60" s="301"/>
      <c r="UG60" s="301"/>
      <c r="UH60" s="301"/>
      <c r="UI60" s="301"/>
      <c r="UJ60" s="301"/>
      <c r="UK60" s="301"/>
      <c r="UL60" s="301"/>
      <c r="UM60" s="301"/>
      <c r="UN60" s="301"/>
      <c r="UO60" s="301"/>
      <c r="UP60" s="301"/>
      <c r="UQ60" s="301"/>
      <c r="UR60" s="301"/>
      <c r="US60" s="301"/>
      <c r="UT60" s="301"/>
      <c r="UU60" s="301"/>
      <c r="UV60" s="301"/>
      <c r="UW60" s="301"/>
      <c r="UX60" s="301"/>
      <c r="UY60" s="301"/>
      <c r="UZ60" s="301"/>
      <c r="VA60" s="301"/>
      <c r="VB60" s="301"/>
      <c r="VC60" s="301"/>
      <c r="VD60" s="301"/>
      <c r="VE60" s="301"/>
      <c r="VF60" s="301"/>
      <c r="VG60" s="301"/>
      <c r="VH60" s="301"/>
      <c r="VI60" s="301"/>
      <c r="VJ60" s="301"/>
      <c r="VK60" s="301"/>
      <c r="VL60" s="301"/>
      <c r="VM60" s="301"/>
      <c r="VN60" s="301"/>
      <c r="VO60" s="301"/>
      <c r="VP60" s="301"/>
      <c r="VQ60" s="301"/>
      <c r="VR60" s="301"/>
      <c r="VS60" s="301"/>
      <c r="VT60" s="301"/>
      <c r="VU60" s="301"/>
      <c r="VV60" s="301"/>
      <c r="VW60" s="301"/>
      <c r="VX60" s="301"/>
      <c r="VY60" s="301"/>
      <c r="VZ60" s="301"/>
      <c r="WA60" s="301"/>
      <c r="WB60" s="301"/>
      <c r="WC60" s="301"/>
      <c r="WD60" s="301"/>
      <c r="WE60" s="301"/>
      <c r="WF60" s="301"/>
      <c r="WG60" s="301"/>
      <c r="WH60" s="301"/>
      <c r="WI60" s="301"/>
      <c r="WJ60" s="301"/>
      <c r="WK60" s="301"/>
      <c r="WL60" s="301"/>
      <c r="WM60" s="301"/>
      <c r="WN60" s="301"/>
      <c r="WO60" s="301"/>
      <c r="WP60" s="301"/>
      <c r="WQ60" s="301"/>
      <c r="WR60" s="301"/>
      <c r="WS60" s="301"/>
      <c r="WT60" s="301"/>
      <c r="WU60" s="301"/>
      <c r="WV60" s="301"/>
      <c r="WW60" s="301"/>
      <c r="WX60" s="301"/>
      <c r="WY60" s="301"/>
      <c r="WZ60" s="301"/>
      <c r="XA60" s="301"/>
      <c r="XB60" s="301"/>
      <c r="XC60" s="301"/>
      <c r="XD60" s="301"/>
      <c r="XE60" s="301"/>
      <c r="XF60" s="301"/>
      <c r="XG60" s="301"/>
      <c r="XH60" s="301"/>
      <c r="XI60" s="301"/>
      <c r="XJ60" s="301"/>
      <c r="XK60" s="301"/>
      <c r="XL60" s="301"/>
      <c r="XM60" s="301"/>
      <c r="XN60" s="301"/>
      <c r="XO60" s="301"/>
      <c r="XP60" s="301"/>
      <c r="XQ60" s="301"/>
      <c r="XR60" s="301"/>
      <c r="XS60" s="301"/>
      <c r="XT60" s="301"/>
      <c r="XU60" s="301"/>
      <c r="XV60" s="301"/>
      <c r="XW60" s="301"/>
      <c r="XX60" s="301"/>
      <c r="XY60" s="301"/>
      <c r="XZ60" s="301"/>
      <c r="YA60" s="301"/>
      <c r="YB60" s="301"/>
      <c r="YC60" s="301"/>
      <c r="YD60" s="301"/>
      <c r="YE60" s="301"/>
      <c r="YF60" s="301"/>
      <c r="YG60" s="301"/>
      <c r="YH60" s="301"/>
      <c r="YI60" s="301"/>
      <c r="YJ60" s="301"/>
      <c r="YK60" s="301"/>
      <c r="YL60" s="301"/>
      <c r="YM60" s="301"/>
      <c r="YN60" s="301"/>
      <c r="YO60" s="301"/>
      <c r="YP60" s="301"/>
      <c r="YQ60" s="301"/>
      <c r="YR60" s="301"/>
      <c r="YS60" s="301"/>
      <c r="YT60" s="301"/>
      <c r="YU60" s="301"/>
      <c r="YV60" s="301"/>
      <c r="YW60" s="301"/>
      <c r="YX60" s="301"/>
      <c r="YY60" s="301"/>
      <c r="YZ60" s="301"/>
      <c r="ZA60" s="301"/>
      <c r="ZB60" s="301"/>
      <c r="ZC60" s="301"/>
      <c r="ZD60" s="301"/>
      <c r="ZE60" s="301"/>
      <c r="ZF60" s="301"/>
      <c r="ZG60" s="301"/>
      <c r="ZH60" s="301"/>
      <c r="ZI60" s="301"/>
      <c r="ZJ60" s="301"/>
      <c r="ZK60" s="301"/>
      <c r="ZL60" s="301"/>
      <c r="ZM60" s="301"/>
      <c r="ZN60" s="301"/>
      <c r="ZO60" s="301"/>
      <c r="ZP60" s="301"/>
      <c r="ZQ60" s="301"/>
      <c r="ZR60" s="301"/>
      <c r="ZS60" s="301"/>
      <c r="ZT60" s="301"/>
      <c r="ZU60" s="301"/>
      <c r="ZV60" s="301"/>
      <c r="ZW60" s="301"/>
      <c r="ZX60" s="301"/>
      <c r="ZY60" s="301"/>
      <c r="ZZ60" s="301"/>
      <c r="AAA60" s="301"/>
      <c r="AAB60" s="301"/>
      <c r="AAC60" s="301"/>
      <c r="AAD60" s="301"/>
      <c r="AAE60" s="301"/>
      <c r="AAF60" s="301"/>
      <c r="AAG60" s="301"/>
      <c r="AAH60" s="301"/>
      <c r="AAI60" s="301"/>
      <c r="AAJ60" s="301"/>
      <c r="AAK60" s="301"/>
      <c r="AAL60" s="301"/>
      <c r="AAM60" s="301"/>
      <c r="AAN60" s="301"/>
      <c r="AAO60" s="301"/>
      <c r="AAP60" s="301"/>
      <c r="AAQ60" s="301"/>
      <c r="AAR60" s="301"/>
      <c r="AAS60" s="301"/>
      <c r="AAT60" s="301"/>
      <c r="AAU60" s="301"/>
      <c r="AAV60" s="301"/>
      <c r="AAW60" s="301"/>
      <c r="AAX60" s="301"/>
      <c r="AAY60" s="301"/>
      <c r="AAZ60" s="301"/>
      <c r="ABA60" s="301"/>
      <c r="ABB60" s="301"/>
      <c r="ABC60" s="301"/>
      <c r="ABD60" s="301"/>
      <c r="ABE60" s="301"/>
      <c r="ABF60" s="301"/>
      <c r="ABG60" s="301"/>
      <c r="ABH60" s="301"/>
      <c r="ABI60" s="301"/>
      <c r="ABJ60" s="301"/>
      <c r="ABK60" s="301"/>
      <c r="ABL60" s="301"/>
      <c r="ABM60" s="301"/>
      <c r="ABN60" s="301"/>
      <c r="ABO60" s="301"/>
      <c r="ABP60" s="301"/>
      <c r="ABQ60" s="301"/>
      <c r="ABR60" s="301"/>
      <c r="ABS60" s="301"/>
      <c r="ABT60" s="301"/>
      <c r="ABU60" s="301"/>
      <c r="ABV60" s="301"/>
      <c r="ABW60" s="301"/>
      <c r="ABX60" s="301"/>
      <c r="ABY60" s="301"/>
      <c r="ABZ60" s="301"/>
      <c r="ACA60" s="301"/>
      <c r="ACB60" s="301"/>
      <c r="ACC60" s="301"/>
      <c r="ACD60" s="301"/>
      <c r="ACE60" s="301"/>
      <c r="ACF60" s="301"/>
      <c r="ACG60" s="301"/>
      <c r="ACH60" s="301"/>
      <c r="ACI60" s="301"/>
      <c r="ACJ60" s="301"/>
      <c r="ACK60" s="301"/>
      <c r="ACL60" s="301"/>
      <c r="ACM60" s="301"/>
      <c r="ACN60" s="301"/>
      <c r="ACO60" s="301"/>
      <c r="ACP60" s="301"/>
      <c r="ACQ60" s="301"/>
      <c r="ACR60" s="301"/>
      <c r="ACS60" s="301"/>
      <c r="ACT60" s="301"/>
      <c r="ACU60" s="301"/>
      <c r="ACV60" s="301"/>
      <c r="ACW60" s="301"/>
      <c r="ACX60" s="301"/>
      <c r="ACY60" s="301"/>
      <c r="ACZ60" s="301"/>
      <c r="ADA60" s="301"/>
      <c r="ADB60" s="301"/>
      <c r="ADC60" s="301"/>
      <c r="ADD60" s="301"/>
      <c r="ADE60" s="301"/>
      <c r="ADF60" s="301"/>
      <c r="ADG60" s="301"/>
      <c r="ADH60" s="301"/>
      <c r="ADI60" s="301"/>
      <c r="ADJ60" s="301"/>
      <c r="ADK60" s="301"/>
      <c r="ADL60" s="301"/>
      <c r="ADM60" s="301"/>
      <c r="ADN60" s="301"/>
      <c r="ADO60" s="301"/>
      <c r="ADP60" s="301"/>
      <c r="ADQ60" s="301"/>
      <c r="ADR60" s="301"/>
      <c r="ADS60" s="301"/>
      <c r="ADT60" s="301"/>
      <c r="ADU60" s="301"/>
      <c r="ADV60" s="301"/>
      <c r="ADW60" s="301"/>
      <c r="ADX60" s="301"/>
      <c r="ADY60" s="301"/>
      <c r="ADZ60" s="301"/>
      <c r="AEA60" s="301"/>
      <c r="AEB60" s="301"/>
      <c r="AEC60" s="301"/>
      <c r="AED60" s="301"/>
      <c r="AEE60" s="301"/>
      <c r="AEF60" s="301"/>
      <c r="AEG60" s="301"/>
      <c r="AEH60" s="301"/>
      <c r="AEI60" s="301"/>
      <c r="AEJ60" s="301"/>
      <c r="AEK60" s="301"/>
      <c r="AEL60" s="301"/>
      <c r="AEM60" s="301"/>
      <c r="AEN60" s="301"/>
      <c r="AEO60" s="301"/>
      <c r="AEP60" s="301"/>
      <c r="AEQ60" s="301"/>
      <c r="AER60" s="301"/>
      <c r="AES60" s="301"/>
      <c r="AET60" s="301"/>
      <c r="AEU60" s="301"/>
      <c r="AEV60" s="301"/>
      <c r="AEW60" s="301"/>
      <c r="AEX60" s="301"/>
      <c r="AEY60" s="301"/>
      <c r="AEZ60" s="301"/>
      <c r="AFA60" s="301"/>
      <c r="AFB60" s="301"/>
      <c r="AFC60" s="301"/>
      <c r="AFD60" s="301"/>
      <c r="AFE60" s="301"/>
      <c r="AFF60" s="301"/>
      <c r="AFG60" s="301"/>
      <c r="AFH60" s="301"/>
      <c r="AFI60" s="301"/>
      <c r="AFJ60" s="301"/>
      <c r="AFK60" s="301"/>
      <c r="AFL60" s="301"/>
      <c r="AFM60" s="301"/>
      <c r="AFN60" s="301"/>
      <c r="AFO60" s="301"/>
      <c r="AFP60" s="301"/>
      <c r="AFQ60" s="301"/>
      <c r="AFR60" s="301"/>
      <c r="AFS60" s="301"/>
      <c r="AFT60" s="301"/>
      <c r="AFU60" s="301"/>
      <c r="AFV60" s="301"/>
      <c r="AFW60" s="301"/>
      <c r="AFX60" s="301"/>
      <c r="AFY60" s="301"/>
      <c r="AFZ60" s="301"/>
      <c r="AGA60" s="301"/>
      <c r="AGB60" s="301"/>
      <c r="AGC60" s="301"/>
      <c r="AGD60" s="301"/>
      <c r="AGE60" s="301"/>
      <c r="AGF60" s="301"/>
      <c r="AGG60" s="301"/>
      <c r="AGH60" s="301"/>
      <c r="AGI60" s="301"/>
      <c r="AGJ60" s="301"/>
      <c r="AGK60" s="301"/>
      <c r="AGL60" s="301"/>
      <c r="AGM60" s="301"/>
      <c r="AGN60" s="301"/>
      <c r="AGO60" s="301"/>
      <c r="AGP60" s="301"/>
      <c r="AGQ60" s="301"/>
      <c r="AGR60" s="301"/>
      <c r="AGS60" s="301"/>
      <c r="AGT60" s="301"/>
      <c r="AGU60" s="301"/>
      <c r="AGV60" s="301"/>
      <c r="AGW60" s="301"/>
      <c r="AGX60" s="301"/>
      <c r="AGY60" s="301"/>
      <c r="AGZ60" s="301"/>
      <c r="AHA60" s="301"/>
      <c r="AHB60" s="301"/>
      <c r="AHC60" s="301"/>
      <c r="AHD60" s="301"/>
      <c r="AHE60" s="301"/>
      <c r="AHF60" s="301"/>
      <c r="AHG60" s="301"/>
      <c r="AHH60" s="301"/>
      <c r="AHI60" s="301"/>
      <c r="AHJ60" s="301"/>
      <c r="AHK60" s="301"/>
      <c r="AHL60" s="301"/>
      <c r="AHM60" s="301"/>
      <c r="AHN60" s="301"/>
      <c r="AHO60" s="301"/>
      <c r="AHP60" s="301"/>
      <c r="AHQ60" s="301"/>
      <c r="AHR60" s="301"/>
      <c r="AHS60" s="301"/>
      <c r="AHT60" s="301"/>
      <c r="AHU60" s="301"/>
      <c r="AHV60" s="301"/>
      <c r="AHW60" s="301"/>
      <c r="AHX60" s="301"/>
      <c r="AHY60" s="301"/>
      <c r="AHZ60" s="301"/>
      <c r="AIA60" s="301"/>
      <c r="AIB60" s="301"/>
      <c r="AIC60" s="301"/>
      <c r="AID60" s="301"/>
      <c r="AIE60" s="301"/>
      <c r="AIF60" s="301"/>
      <c r="AIG60" s="301"/>
      <c r="AIH60" s="301"/>
      <c r="AII60" s="301"/>
      <c r="AIJ60" s="301"/>
      <c r="AIK60" s="301"/>
      <c r="AIL60" s="301"/>
      <c r="AIM60" s="301"/>
      <c r="AIN60" s="301"/>
      <c r="AIO60" s="301"/>
      <c r="AIP60" s="301"/>
      <c r="AIQ60" s="301"/>
      <c r="AIR60" s="301"/>
      <c r="AIS60" s="301"/>
      <c r="AIT60" s="301"/>
      <c r="AIU60" s="301"/>
      <c r="AIV60" s="301"/>
      <c r="AIW60" s="301"/>
      <c r="AIX60" s="301"/>
      <c r="AIY60" s="301"/>
      <c r="AIZ60" s="301"/>
      <c r="AJA60" s="301"/>
      <c r="AJB60" s="301"/>
      <c r="AJC60" s="301"/>
      <c r="AJD60" s="301"/>
      <c r="AJE60" s="301"/>
      <c r="AJF60" s="301"/>
      <c r="AJG60" s="301"/>
      <c r="AJH60" s="301"/>
      <c r="AJI60" s="301"/>
      <c r="AJJ60" s="301"/>
      <c r="AJK60" s="301"/>
      <c r="AJL60" s="301"/>
      <c r="AJM60" s="301"/>
      <c r="AJN60" s="301"/>
      <c r="AJO60" s="301"/>
      <c r="AJP60" s="301"/>
      <c r="AJQ60" s="301"/>
      <c r="AJR60" s="301"/>
      <c r="AJS60" s="301"/>
      <c r="AJT60" s="301"/>
      <c r="AJU60" s="301"/>
      <c r="AJV60" s="301"/>
      <c r="AJW60" s="301"/>
      <c r="AJX60" s="301"/>
      <c r="AJY60" s="301"/>
      <c r="AJZ60" s="301"/>
      <c r="AKA60" s="301"/>
      <c r="AKB60" s="301"/>
      <c r="AKC60" s="301"/>
      <c r="AKD60" s="301"/>
      <c r="AKE60" s="301"/>
      <c r="AKF60" s="301"/>
      <c r="AKG60" s="301"/>
      <c r="AKH60" s="301"/>
      <c r="AKI60" s="301"/>
      <c r="AKJ60" s="301"/>
      <c r="AKK60" s="301"/>
      <c r="AKL60" s="301"/>
      <c r="AKM60" s="301"/>
      <c r="AKN60" s="301"/>
      <c r="AKO60" s="301"/>
      <c r="AKP60" s="301"/>
      <c r="AKQ60" s="301"/>
      <c r="AKR60" s="301"/>
      <c r="AKS60" s="301"/>
      <c r="AKT60" s="301"/>
      <c r="AKU60" s="301"/>
      <c r="AKV60" s="301"/>
      <c r="AKW60" s="301"/>
      <c r="AKX60" s="301"/>
      <c r="AKY60" s="301"/>
      <c r="AKZ60" s="301"/>
      <c r="ALA60" s="301"/>
      <c r="ALB60" s="301"/>
      <c r="ALC60" s="301"/>
      <c r="ALD60" s="301"/>
      <c r="ALE60" s="301"/>
      <c r="ALF60" s="301"/>
      <c r="ALG60" s="301"/>
      <c r="ALH60" s="301"/>
      <c r="ALI60" s="301"/>
      <c r="ALJ60" s="301"/>
      <c r="ALK60" s="301"/>
      <c r="ALL60" s="301"/>
      <c r="ALM60" s="301"/>
      <c r="ALN60" s="301"/>
      <c r="ALO60" s="301"/>
      <c r="ALP60" s="301"/>
      <c r="ALQ60" s="301"/>
      <c r="ALR60" s="301"/>
      <c r="ALS60" s="301"/>
      <c r="ALT60" s="301"/>
      <c r="ALU60" s="301"/>
      <c r="ALV60" s="301"/>
      <c r="ALW60" s="301"/>
      <c r="ALX60" s="301"/>
      <c r="ALY60" s="301"/>
      <c r="ALZ60" s="301"/>
      <c r="AMA60" s="301"/>
      <c r="AMB60" s="301"/>
      <c r="AMC60" s="301"/>
      <c r="AMD60" s="301"/>
      <c r="AME60" s="301"/>
      <c r="AMF60" s="301"/>
      <c r="AMG60" s="301"/>
      <c r="AMH60" s="1"/>
      <c r="AMI60" s="1"/>
      <c r="AMJ60" s="1"/>
    </row>
    <row r="61" customFormat="false" ht="15" hidden="false" customHeight="true" outlineLevel="0" collapsed="false">
      <c r="A61" s="335" t="s">
        <v>229</v>
      </c>
      <c r="B61" s="336"/>
      <c r="C61" s="336"/>
      <c r="D61" s="336"/>
      <c r="E61" s="338" t="str">
        <f aca="false">IF(G61&gt;0,"Surplus---&gt;","Funds Needed---&gt;")</f>
        <v>Funds Needed---&gt;</v>
      </c>
      <c r="F61" s="338"/>
      <c r="G61" s="339" t="n">
        <f aca="false">IF(OR(G59,G60)=0,0,SUM(G60)-SUM(G59))</f>
        <v>-420</v>
      </c>
      <c r="H61" s="339"/>
      <c r="I61" s="339" t="n">
        <f aca="false">IF(OR(I59,I60)=0,0,SUM(I60)-SUM(I59))</f>
        <v>-35</v>
      </c>
      <c r="J61" s="339"/>
      <c r="K61" s="339"/>
      <c r="L61" s="301"/>
      <c r="M61" s="301"/>
      <c r="N61" s="301"/>
      <c r="O61" s="301"/>
      <c r="P61" s="301"/>
      <c r="Q61" s="301"/>
      <c r="R61" s="301"/>
      <c r="S61" s="301"/>
      <c r="T61" s="301"/>
      <c r="U61" s="301"/>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301"/>
      <c r="BP61" s="301"/>
      <c r="BQ61" s="301"/>
      <c r="BR61" s="301"/>
      <c r="BS61" s="301"/>
      <c r="BT61" s="301"/>
      <c r="BU61" s="301"/>
      <c r="BV61" s="301"/>
      <c r="BW61" s="301"/>
      <c r="BX61" s="301"/>
      <c r="BY61" s="301"/>
      <c r="BZ61" s="301"/>
      <c r="CA61" s="301"/>
      <c r="CB61" s="301"/>
      <c r="CC61" s="301"/>
      <c r="CD61" s="301"/>
      <c r="CE61" s="301"/>
      <c r="CF61" s="301"/>
      <c r="CG61" s="301"/>
      <c r="CH61" s="301"/>
      <c r="CI61" s="301"/>
      <c r="CJ61" s="301"/>
      <c r="CK61" s="301"/>
      <c r="CL61" s="301"/>
      <c r="CM61" s="301"/>
      <c r="CN61" s="301"/>
      <c r="CO61" s="301"/>
      <c r="CP61" s="301"/>
      <c r="CQ61" s="301"/>
      <c r="CR61" s="301"/>
      <c r="CS61" s="301"/>
      <c r="CT61" s="301"/>
      <c r="CU61" s="301"/>
      <c r="CV61" s="301"/>
      <c r="CW61" s="301"/>
      <c r="CX61" s="301"/>
      <c r="CY61" s="301"/>
      <c r="CZ61" s="301"/>
      <c r="DA61" s="301"/>
      <c r="DB61" s="301"/>
      <c r="DC61" s="301"/>
      <c r="DD61" s="301"/>
      <c r="DE61" s="301"/>
      <c r="DF61" s="301"/>
      <c r="DG61" s="301"/>
      <c r="DH61" s="301"/>
      <c r="DI61" s="301"/>
      <c r="DJ61" s="301"/>
      <c r="DK61" s="301"/>
      <c r="DL61" s="301"/>
      <c r="DM61" s="301"/>
      <c r="DN61" s="301"/>
      <c r="DO61" s="301"/>
      <c r="DP61" s="301"/>
      <c r="DQ61" s="301"/>
      <c r="DR61" s="301"/>
      <c r="DS61" s="301"/>
      <c r="DT61" s="301"/>
      <c r="DU61" s="301"/>
      <c r="DV61" s="301"/>
      <c r="DW61" s="301"/>
      <c r="DX61" s="301"/>
      <c r="DY61" s="301"/>
      <c r="DZ61" s="301"/>
      <c r="EA61" s="301"/>
      <c r="EB61" s="301"/>
      <c r="EC61" s="301"/>
      <c r="ED61" s="301"/>
      <c r="EE61" s="301"/>
      <c r="EF61" s="301"/>
      <c r="EG61" s="301"/>
      <c r="EH61" s="301"/>
      <c r="EI61" s="301"/>
      <c r="EJ61" s="301"/>
      <c r="EK61" s="301"/>
      <c r="EL61" s="301"/>
      <c r="EM61" s="301"/>
      <c r="EN61" s="301"/>
      <c r="EO61" s="301"/>
      <c r="EP61" s="301"/>
      <c r="EQ61" s="301"/>
      <c r="ER61" s="301"/>
      <c r="ES61" s="301"/>
      <c r="ET61" s="301"/>
      <c r="EU61" s="301"/>
      <c r="EV61" s="301"/>
      <c r="EW61" s="301"/>
      <c r="EX61" s="301"/>
      <c r="EY61" s="301"/>
      <c r="EZ61" s="301"/>
      <c r="FA61" s="301"/>
      <c r="FB61" s="301"/>
      <c r="FC61" s="301"/>
      <c r="FD61" s="301"/>
      <c r="FE61" s="301"/>
      <c r="FF61" s="301"/>
      <c r="FG61" s="301"/>
      <c r="FH61" s="301"/>
      <c r="FI61" s="301"/>
      <c r="FJ61" s="301"/>
      <c r="FK61" s="301"/>
      <c r="FL61" s="301"/>
      <c r="FM61" s="301"/>
      <c r="FN61" s="301"/>
      <c r="FO61" s="301"/>
      <c r="FP61" s="301"/>
      <c r="FQ61" s="301"/>
      <c r="FR61" s="301"/>
      <c r="FS61" s="301"/>
      <c r="FT61" s="301"/>
      <c r="FU61" s="301"/>
      <c r="FV61" s="301"/>
      <c r="FW61" s="301"/>
      <c r="FX61" s="301"/>
      <c r="FY61" s="301"/>
      <c r="FZ61" s="301"/>
      <c r="GA61" s="301"/>
      <c r="GB61" s="301"/>
      <c r="GC61" s="301"/>
      <c r="GD61" s="301"/>
      <c r="GE61" s="301"/>
      <c r="GF61" s="301"/>
      <c r="GG61" s="301"/>
      <c r="GH61" s="301"/>
      <c r="GI61" s="301"/>
      <c r="GJ61" s="301"/>
      <c r="GK61" s="301"/>
      <c r="GL61" s="301"/>
      <c r="GM61" s="301"/>
      <c r="GN61" s="301"/>
      <c r="GO61" s="301"/>
      <c r="GP61" s="301"/>
      <c r="GQ61" s="301"/>
      <c r="GR61" s="301"/>
      <c r="GS61" s="301"/>
      <c r="GT61" s="301"/>
      <c r="GU61" s="301"/>
      <c r="GV61" s="301"/>
      <c r="GW61" s="301"/>
      <c r="GX61" s="301"/>
      <c r="GY61" s="301"/>
      <c r="GZ61" s="301"/>
      <c r="HA61" s="301"/>
      <c r="HB61" s="301"/>
      <c r="HC61" s="301"/>
      <c r="HD61" s="301"/>
      <c r="HE61" s="301"/>
      <c r="HF61" s="301"/>
      <c r="HG61" s="301"/>
      <c r="HH61" s="301"/>
      <c r="HI61" s="301"/>
      <c r="HJ61" s="301"/>
      <c r="HK61" s="301"/>
      <c r="HL61" s="301"/>
      <c r="HM61" s="301"/>
      <c r="HN61" s="301"/>
      <c r="HO61" s="301"/>
      <c r="HP61" s="301"/>
      <c r="HQ61" s="301"/>
      <c r="HR61" s="301"/>
      <c r="HS61" s="301"/>
      <c r="HT61" s="301"/>
      <c r="HU61" s="301"/>
      <c r="HV61" s="301"/>
      <c r="HW61" s="301"/>
      <c r="HX61" s="301"/>
      <c r="HY61" s="301"/>
      <c r="HZ61" s="301"/>
      <c r="IA61" s="301"/>
      <c r="IB61" s="301"/>
      <c r="IC61" s="301"/>
      <c r="ID61" s="301"/>
      <c r="IE61" s="301"/>
      <c r="IF61" s="301"/>
      <c r="IG61" s="301"/>
      <c r="IH61" s="301"/>
      <c r="II61" s="301"/>
      <c r="IJ61" s="301"/>
      <c r="IK61" s="301"/>
      <c r="IL61" s="301"/>
      <c r="IM61" s="301"/>
      <c r="IN61" s="301"/>
      <c r="IO61" s="301"/>
      <c r="IP61" s="301"/>
      <c r="IQ61" s="301"/>
      <c r="IR61" s="301"/>
      <c r="IS61" s="301"/>
      <c r="IT61" s="301"/>
      <c r="IU61" s="301"/>
      <c r="IV61" s="301"/>
      <c r="IW61" s="301"/>
      <c r="IX61" s="301"/>
      <c r="IY61" s="301"/>
      <c r="IZ61" s="301"/>
      <c r="JA61" s="301"/>
      <c r="JB61" s="301"/>
      <c r="JC61" s="301"/>
      <c r="JD61" s="301"/>
      <c r="JE61" s="301"/>
      <c r="JF61" s="301"/>
      <c r="JG61" s="301"/>
      <c r="JH61" s="301"/>
      <c r="JI61" s="301"/>
      <c r="JJ61" s="301"/>
      <c r="JK61" s="301"/>
      <c r="JL61" s="301"/>
      <c r="JM61" s="301"/>
      <c r="JN61" s="301"/>
      <c r="JO61" s="301"/>
      <c r="JP61" s="301"/>
      <c r="JQ61" s="301"/>
      <c r="JR61" s="301"/>
      <c r="JS61" s="301"/>
      <c r="JT61" s="301"/>
      <c r="JU61" s="301"/>
      <c r="JV61" s="301"/>
      <c r="JW61" s="301"/>
      <c r="JX61" s="301"/>
      <c r="JY61" s="301"/>
      <c r="JZ61" s="301"/>
      <c r="KA61" s="301"/>
      <c r="KB61" s="301"/>
      <c r="KC61" s="301"/>
      <c r="KD61" s="301"/>
      <c r="KE61" s="301"/>
      <c r="KF61" s="301"/>
      <c r="KG61" s="301"/>
      <c r="KH61" s="301"/>
      <c r="KI61" s="301"/>
      <c r="KJ61" s="301"/>
      <c r="KK61" s="301"/>
      <c r="KL61" s="301"/>
      <c r="KM61" s="301"/>
      <c r="KN61" s="301"/>
      <c r="KO61" s="301"/>
      <c r="KP61" s="301"/>
      <c r="KQ61" s="301"/>
      <c r="KR61" s="301"/>
      <c r="KS61" s="301"/>
      <c r="KT61" s="301"/>
      <c r="KU61" s="301"/>
      <c r="KV61" s="301"/>
      <c r="KW61" s="301"/>
      <c r="KX61" s="301"/>
      <c r="KY61" s="301"/>
      <c r="KZ61" s="301"/>
      <c r="LA61" s="301"/>
      <c r="LB61" s="301"/>
      <c r="LC61" s="301"/>
      <c r="LD61" s="301"/>
      <c r="LE61" s="301"/>
      <c r="LF61" s="301"/>
      <c r="LG61" s="301"/>
      <c r="LH61" s="301"/>
      <c r="LI61" s="301"/>
      <c r="LJ61" s="301"/>
      <c r="LK61" s="301"/>
      <c r="LL61" s="301"/>
      <c r="LM61" s="301"/>
      <c r="LN61" s="301"/>
      <c r="LO61" s="301"/>
      <c r="LP61" s="301"/>
      <c r="LQ61" s="301"/>
      <c r="LR61" s="301"/>
      <c r="LS61" s="301"/>
      <c r="LT61" s="301"/>
      <c r="LU61" s="301"/>
      <c r="LV61" s="301"/>
      <c r="LW61" s="301"/>
      <c r="LX61" s="301"/>
      <c r="LY61" s="301"/>
      <c r="LZ61" s="301"/>
      <c r="MA61" s="301"/>
      <c r="MB61" s="301"/>
      <c r="MC61" s="301"/>
      <c r="MD61" s="301"/>
      <c r="ME61" s="301"/>
      <c r="MF61" s="301"/>
      <c r="MG61" s="301"/>
      <c r="MH61" s="301"/>
      <c r="MI61" s="301"/>
      <c r="MJ61" s="301"/>
      <c r="MK61" s="301"/>
      <c r="ML61" s="301"/>
      <c r="MM61" s="301"/>
      <c r="MN61" s="301"/>
      <c r="MO61" s="301"/>
      <c r="MP61" s="301"/>
      <c r="MQ61" s="301"/>
      <c r="MR61" s="301"/>
      <c r="MS61" s="301"/>
      <c r="MT61" s="301"/>
      <c r="MU61" s="301"/>
      <c r="MV61" s="301"/>
      <c r="MW61" s="301"/>
      <c r="MX61" s="301"/>
      <c r="MY61" s="301"/>
      <c r="MZ61" s="301"/>
      <c r="NA61" s="301"/>
      <c r="NB61" s="301"/>
      <c r="NC61" s="301"/>
      <c r="ND61" s="301"/>
      <c r="NE61" s="301"/>
      <c r="NF61" s="301"/>
      <c r="NG61" s="301"/>
      <c r="NH61" s="301"/>
      <c r="NI61" s="301"/>
      <c r="NJ61" s="301"/>
      <c r="NK61" s="301"/>
      <c r="NL61" s="301"/>
      <c r="NM61" s="301"/>
      <c r="NN61" s="301"/>
      <c r="NO61" s="301"/>
      <c r="NP61" s="301"/>
      <c r="NQ61" s="301"/>
      <c r="NR61" s="301"/>
      <c r="NS61" s="301"/>
      <c r="NT61" s="301"/>
      <c r="NU61" s="301"/>
      <c r="NV61" s="301"/>
      <c r="NW61" s="301"/>
      <c r="NX61" s="301"/>
      <c r="NY61" s="301"/>
      <c r="NZ61" s="301"/>
      <c r="OA61" s="301"/>
      <c r="OB61" s="301"/>
      <c r="OC61" s="301"/>
      <c r="OD61" s="301"/>
      <c r="OE61" s="301"/>
      <c r="OF61" s="301"/>
      <c r="OG61" s="301"/>
      <c r="OH61" s="301"/>
      <c r="OI61" s="301"/>
      <c r="OJ61" s="301"/>
      <c r="OK61" s="301"/>
      <c r="OL61" s="301"/>
      <c r="OM61" s="301"/>
      <c r="ON61" s="301"/>
      <c r="OO61" s="301"/>
      <c r="OP61" s="301"/>
      <c r="OQ61" s="301"/>
      <c r="OR61" s="301"/>
      <c r="OS61" s="301"/>
      <c r="OT61" s="301"/>
      <c r="OU61" s="301"/>
      <c r="OV61" s="301"/>
      <c r="OW61" s="301"/>
      <c r="OX61" s="301"/>
      <c r="OY61" s="301"/>
      <c r="OZ61" s="301"/>
      <c r="PA61" s="301"/>
      <c r="PB61" s="301"/>
      <c r="PC61" s="301"/>
      <c r="PD61" s="301"/>
      <c r="PE61" s="301"/>
      <c r="PF61" s="301"/>
      <c r="PG61" s="301"/>
      <c r="PH61" s="301"/>
      <c r="PI61" s="301"/>
      <c r="PJ61" s="301"/>
      <c r="PK61" s="301"/>
      <c r="PL61" s="301"/>
      <c r="PM61" s="301"/>
      <c r="PN61" s="301"/>
      <c r="PO61" s="301"/>
      <c r="PP61" s="301"/>
      <c r="PQ61" s="301"/>
      <c r="PR61" s="301"/>
      <c r="PS61" s="301"/>
      <c r="PT61" s="301"/>
      <c r="PU61" s="301"/>
      <c r="PV61" s="301"/>
      <c r="PW61" s="301"/>
      <c r="PX61" s="301"/>
      <c r="PY61" s="301"/>
      <c r="PZ61" s="301"/>
      <c r="QA61" s="301"/>
      <c r="QB61" s="301"/>
      <c r="QC61" s="301"/>
      <c r="QD61" s="301"/>
      <c r="QE61" s="301"/>
      <c r="QF61" s="301"/>
      <c r="QG61" s="301"/>
      <c r="QH61" s="301"/>
      <c r="QI61" s="301"/>
      <c r="QJ61" s="301"/>
      <c r="QK61" s="301"/>
      <c r="QL61" s="301"/>
      <c r="QM61" s="301"/>
      <c r="QN61" s="301"/>
      <c r="QO61" s="301"/>
      <c r="QP61" s="301"/>
      <c r="QQ61" s="301"/>
      <c r="QR61" s="301"/>
      <c r="QS61" s="301"/>
      <c r="QT61" s="301"/>
      <c r="QU61" s="301"/>
      <c r="QV61" s="301"/>
      <c r="QW61" s="301"/>
      <c r="QX61" s="301"/>
      <c r="QY61" s="301"/>
      <c r="QZ61" s="301"/>
      <c r="RA61" s="301"/>
      <c r="RB61" s="301"/>
      <c r="RC61" s="301"/>
      <c r="RD61" s="301"/>
      <c r="RE61" s="301"/>
      <c r="RF61" s="301"/>
      <c r="RG61" s="301"/>
      <c r="RH61" s="301"/>
      <c r="RI61" s="301"/>
      <c r="RJ61" s="301"/>
      <c r="RK61" s="301"/>
      <c r="RL61" s="301"/>
      <c r="RM61" s="301"/>
      <c r="RN61" s="301"/>
      <c r="RO61" s="301"/>
      <c r="RP61" s="301"/>
      <c r="RQ61" s="301"/>
      <c r="RR61" s="301"/>
      <c r="RS61" s="301"/>
      <c r="RT61" s="301"/>
      <c r="RU61" s="301"/>
      <c r="RV61" s="301"/>
      <c r="RW61" s="301"/>
      <c r="RX61" s="301"/>
      <c r="RY61" s="301"/>
      <c r="RZ61" s="301"/>
      <c r="SA61" s="301"/>
      <c r="SB61" s="301"/>
      <c r="SC61" s="301"/>
      <c r="SD61" s="301"/>
      <c r="SE61" s="301"/>
      <c r="SF61" s="301"/>
      <c r="SG61" s="301"/>
      <c r="SH61" s="301"/>
      <c r="SI61" s="301"/>
      <c r="SJ61" s="301"/>
      <c r="SK61" s="301"/>
      <c r="SL61" s="301"/>
      <c r="SM61" s="301"/>
      <c r="SN61" s="301"/>
      <c r="SO61" s="301"/>
      <c r="SP61" s="301"/>
      <c r="SQ61" s="301"/>
      <c r="SR61" s="301"/>
      <c r="SS61" s="301"/>
      <c r="ST61" s="301"/>
      <c r="SU61" s="301"/>
      <c r="SV61" s="301"/>
      <c r="SW61" s="301"/>
      <c r="SX61" s="301"/>
      <c r="SY61" s="301"/>
      <c r="SZ61" s="301"/>
      <c r="TA61" s="301"/>
      <c r="TB61" s="301"/>
      <c r="TC61" s="301"/>
      <c r="TD61" s="301"/>
      <c r="TE61" s="301"/>
      <c r="TF61" s="301"/>
      <c r="TG61" s="301"/>
      <c r="TH61" s="301"/>
      <c r="TI61" s="301"/>
      <c r="TJ61" s="301"/>
      <c r="TK61" s="301"/>
      <c r="TL61" s="301"/>
      <c r="TM61" s="301"/>
      <c r="TN61" s="301"/>
      <c r="TO61" s="301"/>
      <c r="TP61" s="301"/>
      <c r="TQ61" s="301"/>
      <c r="TR61" s="301"/>
      <c r="TS61" s="301"/>
      <c r="TT61" s="301"/>
      <c r="TU61" s="301"/>
      <c r="TV61" s="301"/>
      <c r="TW61" s="301"/>
      <c r="TX61" s="301"/>
      <c r="TY61" s="301"/>
      <c r="TZ61" s="301"/>
      <c r="UA61" s="301"/>
      <c r="UB61" s="301"/>
      <c r="UC61" s="301"/>
      <c r="UD61" s="301"/>
      <c r="UE61" s="301"/>
      <c r="UF61" s="301"/>
      <c r="UG61" s="301"/>
      <c r="UH61" s="301"/>
      <c r="UI61" s="301"/>
      <c r="UJ61" s="301"/>
      <c r="UK61" s="301"/>
      <c r="UL61" s="301"/>
      <c r="UM61" s="301"/>
      <c r="UN61" s="301"/>
      <c r="UO61" s="301"/>
      <c r="UP61" s="301"/>
      <c r="UQ61" s="301"/>
      <c r="UR61" s="301"/>
      <c r="US61" s="301"/>
      <c r="UT61" s="301"/>
      <c r="UU61" s="301"/>
      <c r="UV61" s="301"/>
      <c r="UW61" s="301"/>
      <c r="UX61" s="301"/>
      <c r="UY61" s="301"/>
      <c r="UZ61" s="301"/>
      <c r="VA61" s="301"/>
      <c r="VB61" s="301"/>
      <c r="VC61" s="301"/>
      <c r="VD61" s="301"/>
      <c r="VE61" s="301"/>
      <c r="VF61" s="301"/>
      <c r="VG61" s="301"/>
      <c r="VH61" s="301"/>
      <c r="VI61" s="301"/>
      <c r="VJ61" s="301"/>
      <c r="VK61" s="301"/>
      <c r="VL61" s="301"/>
      <c r="VM61" s="301"/>
      <c r="VN61" s="301"/>
      <c r="VO61" s="301"/>
      <c r="VP61" s="301"/>
      <c r="VQ61" s="301"/>
      <c r="VR61" s="301"/>
      <c r="VS61" s="301"/>
      <c r="VT61" s="301"/>
      <c r="VU61" s="301"/>
      <c r="VV61" s="301"/>
      <c r="VW61" s="301"/>
      <c r="VX61" s="301"/>
      <c r="VY61" s="301"/>
      <c r="VZ61" s="301"/>
      <c r="WA61" s="301"/>
      <c r="WB61" s="301"/>
      <c r="WC61" s="301"/>
      <c r="WD61" s="301"/>
      <c r="WE61" s="301"/>
      <c r="WF61" s="301"/>
      <c r="WG61" s="301"/>
      <c r="WH61" s="301"/>
      <c r="WI61" s="301"/>
      <c r="WJ61" s="301"/>
      <c r="WK61" s="301"/>
      <c r="WL61" s="301"/>
      <c r="WM61" s="301"/>
      <c r="WN61" s="301"/>
      <c r="WO61" s="301"/>
      <c r="WP61" s="301"/>
      <c r="WQ61" s="301"/>
      <c r="WR61" s="301"/>
      <c r="WS61" s="301"/>
      <c r="WT61" s="301"/>
      <c r="WU61" s="301"/>
      <c r="WV61" s="301"/>
      <c r="WW61" s="301"/>
      <c r="WX61" s="301"/>
      <c r="WY61" s="301"/>
      <c r="WZ61" s="301"/>
      <c r="XA61" s="301"/>
      <c r="XB61" s="301"/>
      <c r="XC61" s="301"/>
      <c r="XD61" s="301"/>
      <c r="XE61" s="301"/>
      <c r="XF61" s="301"/>
      <c r="XG61" s="301"/>
      <c r="XH61" s="301"/>
      <c r="XI61" s="301"/>
      <c r="XJ61" s="301"/>
      <c r="XK61" s="301"/>
      <c r="XL61" s="301"/>
      <c r="XM61" s="301"/>
      <c r="XN61" s="301"/>
      <c r="XO61" s="301"/>
      <c r="XP61" s="301"/>
      <c r="XQ61" s="301"/>
      <c r="XR61" s="301"/>
      <c r="XS61" s="301"/>
      <c r="XT61" s="301"/>
      <c r="XU61" s="301"/>
      <c r="XV61" s="301"/>
      <c r="XW61" s="301"/>
      <c r="XX61" s="301"/>
      <c r="XY61" s="301"/>
      <c r="XZ61" s="301"/>
      <c r="YA61" s="301"/>
      <c r="YB61" s="301"/>
      <c r="YC61" s="301"/>
      <c r="YD61" s="301"/>
      <c r="YE61" s="301"/>
      <c r="YF61" s="301"/>
      <c r="YG61" s="301"/>
      <c r="YH61" s="301"/>
      <c r="YI61" s="301"/>
      <c r="YJ61" s="301"/>
      <c r="YK61" s="301"/>
      <c r="YL61" s="301"/>
      <c r="YM61" s="301"/>
      <c r="YN61" s="301"/>
      <c r="YO61" s="301"/>
      <c r="YP61" s="301"/>
      <c r="YQ61" s="301"/>
      <c r="YR61" s="301"/>
      <c r="YS61" s="301"/>
      <c r="YT61" s="301"/>
      <c r="YU61" s="301"/>
      <c r="YV61" s="301"/>
      <c r="YW61" s="301"/>
      <c r="YX61" s="301"/>
      <c r="YY61" s="301"/>
      <c r="YZ61" s="301"/>
      <c r="ZA61" s="301"/>
      <c r="ZB61" s="301"/>
      <c r="ZC61" s="301"/>
      <c r="ZD61" s="301"/>
      <c r="ZE61" s="301"/>
      <c r="ZF61" s="301"/>
      <c r="ZG61" s="301"/>
      <c r="ZH61" s="301"/>
      <c r="ZI61" s="301"/>
      <c r="ZJ61" s="301"/>
      <c r="ZK61" s="301"/>
      <c r="ZL61" s="301"/>
      <c r="ZM61" s="301"/>
      <c r="ZN61" s="301"/>
      <c r="ZO61" s="301"/>
      <c r="ZP61" s="301"/>
      <c r="ZQ61" s="301"/>
      <c r="ZR61" s="301"/>
      <c r="ZS61" s="301"/>
      <c r="ZT61" s="301"/>
      <c r="ZU61" s="301"/>
      <c r="ZV61" s="301"/>
      <c r="ZW61" s="301"/>
      <c r="ZX61" s="301"/>
      <c r="ZY61" s="301"/>
      <c r="ZZ61" s="301"/>
      <c r="AAA61" s="301"/>
      <c r="AAB61" s="301"/>
      <c r="AAC61" s="301"/>
      <c r="AAD61" s="301"/>
      <c r="AAE61" s="301"/>
      <c r="AAF61" s="301"/>
      <c r="AAG61" s="301"/>
      <c r="AAH61" s="301"/>
      <c r="AAI61" s="301"/>
      <c r="AAJ61" s="301"/>
      <c r="AAK61" s="301"/>
      <c r="AAL61" s="301"/>
      <c r="AAM61" s="301"/>
      <c r="AAN61" s="301"/>
      <c r="AAO61" s="301"/>
      <c r="AAP61" s="301"/>
      <c r="AAQ61" s="301"/>
      <c r="AAR61" s="301"/>
      <c r="AAS61" s="301"/>
      <c r="AAT61" s="301"/>
      <c r="AAU61" s="301"/>
      <c r="AAV61" s="301"/>
      <c r="AAW61" s="301"/>
      <c r="AAX61" s="301"/>
      <c r="AAY61" s="301"/>
      <c r="AAZ61" s="301"/>
      <c r="ABA61" s="301"/>
      <c r="ABB61" s="301"/>
      <c r="ABC61" s="301"/>
      <c r="ABD61" s="301"/>
      <c r="ABE61" s="301"/>
      <c r="ABF61" s="301"/>
      <c r="ABG61" s="301"/>
      <c r="ABH61" s="301"/>
      <c r="ABI61" s="301"/>
      <c r="ABJ61" s="301"/>
      <c r="ABK61" s="301"/>
      <c r="ABL61" s="301"/>
      <c r="ABM61" s="301"/>
      <c r="ABN61" s="301"/>
      <c r="ABO61" s="301"/>
      <c r="ABP61" s="301"/>
      <c r="ABQ61" s="301"/>
      <c r="ABR61" s="301"/>
      <c r="ABS61" s="301"/>
      <c r="ABT61" s="301"/>
      <c r="ABU61" s="301"/>
      <c r="ABV61" s="301"/>
      <c r="ABW61" s="301"/>
      <c r="ABX61" s="301"/>
      <c r="ABY61" s="301"/>
      <c r="ABZ61" s="301"/>
      <c r="ACA61" s="301"/>
      <c r="ACB61" s="301"/>
      <c r="ACC61" s="301"/>
      <c r="ACD61" s="301"/>
      <c r="ACE61" s="301"/>
      <c r="ACF61" s="301"/>
      <c r="ACG61" s="301"/>
      <c r="ACH61" s="301"/>
      <c r="ACI61" s="301"/>
      <c r="ACJ61" s="301"/>
      <c r="ACK61" s="301"/>
      <c r="ACL61" s="301"/>
      <c r="ACM61" s="301"/>
      <c r="ACN61" s="301"/>
      <c r="ACO61" s="301"/>
      <c r="ACP61" s="301"/>
      <c r="ACQ61" s="301"/>
      <c r="ACR61" s="301"/>
      <c r="ACS61" s="301"/>
      <c r="ACT61" s="301"/>
      <c r="ACU61" s="301"/>
      <c r="ACV61" s="301"/>
      <c r="ACW61" s="301"/>
      <c r="ACX61" s="301"/>
      <c r="ACY61" s="301"/>
      <c r="ACZ61" s="301"/>
      <c r="ADA61" s="301"/>
      <c r="ADB61" s="301"/>
      <c r="ADC61" s="301"/>
      <c r="ADD61" s="301"/>
      <c r="ADE61" s="301"/>
      <c r="ADF61" s="301"/>
      <c r="ADG61" s="301"/>
      <c r="ADH61" s="301"/>
      <c r="ADI61" s="301"/>
      <c r="ADJ61" s="301"/>
      <c r="ADK61" s="301"/>
      <c r="ADL61" s="301"/>
      <c r="ADM61" s="301"/>
      <c r="ADN61" s="301"/>
      <c r="ADO61" s="301"/>
      <c r="ADP61" s="301"/>
      <c r="ADQ61" s="301"/>
      <c r="ADR61" s="301"/>
      <c r="ADS61" s="301"/>
      <c r="ADT61" s="301"/>
      <c r="ADU61" s="301"/>
      <c r="ADV61" s="301"/>
      <c r="ADW61" s="301"/>
      <c r="ADX61" s="301"/>
      <c r="ADY61" s="301"/>
      <c r="ADZ61" s="301"/>
      <c r="AEA61" s="301"/>
      <c r="AEB61" s="301"/>
      <c r="AEC61" s="301"/>
      <c r="AED61" s="301"/>
      <c r="AEE61" s="301"/>
      <c r="AEF61" s="301"/>
      <c r="AEG61" s="301"/>
      <c r="AEH61" s="301"/>
      <c r="AEI61" s="301"/>
      <c r="AEJ61" s="301"/>
      <c r="AEK61" s="301"/>
      <c r="AEL61" s="301"/>
      <c r="AEM61" s="301"/>
      <c r="AEN61" s="301"/>
      <c r="AEO61" s="301"/>
      <c r="AEP61" s="301"/>
      <c r="AEQ61" s="301"/>
      <c r="AER61" s="301"/>
      <c r="AES61" s="301"/>
      <c r="AET61" s="301"/>
      <c r="AEU61" s="301"/>
      <c r="AEV61" s="301"/>
      <c r="AEW61" s="301"/>
      <c r="AEX61" s="301"/>
      <c r="AEY61" s="301"/>
      <c r="AEZ61" s="301"/>
      <c r="AFA61" s="301"/>
      <c r="AFB61" s="301"/>
      <c r="AFC61" s="301"/>
      <c r="AFD61" s="301"/>
      <c r="AFE61" s="301"/>
      <c r="AFF61" s="301"/>
      <c r="AFG61" s="301"/>
      <c r="AFH61" s="301"/>
      <c r="AFI61" s="301"/>
      <c r="AFJ61" s="301"/>
      <c r="AFK61" s="301"/>
      <c r="AFL61" s="301"/>
      <c r="AFM61" s="301"/>
      <c r="AFN61" s="301"/>
      <c r="AFO61" s="301"/>
      <c r="AFP61" s="301"/>
      <c r="AFQ61" s="301"/>
      <c r="AFR61" s="301"/>
      <c r="AFS61" s="301"/>
      <c r="AFT61" s="301"/>
      <c r="AFU61" s="301"/>
      <c r="AFV61" s="301"/>
      <c r="AFW61" s="301"/>
      <c r="AFX61" s="301"/>
      <c r="AFY61" s="301"/>
      <c r="AFZ61" s="301"/>
      <c r="AGA61" s="301"/>
      <c r="AGB61" s="301"/>
      <c r="AGC61" s="301"/>
      <c r="AGD61" s="301"/>
      <c r="AGE61" s="301"/>
      <c r="AGF61" s="301"/>
      <c r="AGG61" s="301"/>
      <c r="AGH61" s="301"/>
      <c r="AGI61" s="301"/>
      <c r="AGJ61" s="301"/>
      <c r="AGK61" s="301"/>
      <c r="AGL61" s="301"/>
      <c r="AGM61" s="301"/>
      <c r="AGN61" s="301"/>
      <c r="AGO61" s="301"/>
      <c r="AGP61" s="301"/>
      <c r="AGQ61" s="301"/>
      <c r="AGR61" s="301"/>
      <c r="AGS61" s="301"/>
      <c r="AGT61" s="301"/>
      <c r="AGU61" s="301"/>
      <c r="AGV61" s="301"/>
      <c r="AGW61" s="301"/>
      <c r="AGX61" s="301"/>
      <c r="AGY61" s="301"/>
      <c r="AGZ61" s="301"/>
      <c r="AHA61" s="301"/>
      <c r="AHB61" s="301"/>
      <c r="AHC61" s="301"/>
      <c r="AHD61" s="301"/>
      <c r="AHE61" s="301"/>
      <c r="AHF61" s="301"/>
      <c r="AHG61" s="301"/>
      <c r="AHH61" s="301"/>
      <c r="AHI61" s="301"/>
      <c r="AHJ61" s="301"/>
      <c r="AHK61" s="301"/>
      <c r="AHL61" s="301"/>
      <c r="AHM61" s="301"/>
      <c r="AHN61" s="301"/>
      <c r="AHO61" s="301"/>
      <c r="AHP61" s="301"/>
      <c r="AHQ61" s="301"/>
      <c r="AHR61" s="301"/>
      <c r="AHS61" s="301"/>
      <c r="AHT61" s="301"/>
      <c r="AHU61" s="301"/>
      <c r="AHV61" s="301"/>
      <c r="AHW61" s="301"/>
      <c r="AHX61" s="301"/>
      <c r="AHY61" s="301"/>
      <c r="AHZ61" s="301"/>
      <c r="AIA61" s="301"/>
      <c r="AIB61" s="301"/>
      <c r="AIC61" s="301"/>
      <c r="AID61" s="301"/>
      <c r="AIE61" s="301"/>
      <c r="AIF61" s="301"/>
      <c r="AIG61" s="301"/>
      <c r="AIH61" s="301"/>
      <c r="AII61" s="301"/>
      <c r="AIJ61" s="301"/>
      <c r="AIK61" s="301"/>
      <c r="AIL61" s="301"/>
      <c r="AIM61" s="301"/>
      <c r="AIN61" s="301"/>
      <c r="AIO61" s="301"/>
      <c r="AIP61" s="301"/>
      <c r="AIQ61" s="301"/>
      <c r="AIR61" s="301"/>
      <c r="AIS61" s="301"/>
      <c r="AIT61" s="301"/>
      <c r="AIU61" s="301"/>
      <c r="AIV61" s="301"/>
      <c r="AIW61" s="301"/>
      <c r="AIX61" s="301"/>
      <c r="AIY61" s="301"/>
      <c r="AIZ61" s="301"/>
      <c r="AJA61" s="301"/>
      <c r="AJB61" s="301"/>
      <c r="AJC61" s="301"/>
      <c r="AJD61" s="301"/>
      <c r="AJE61" s="301"/>
      <c r="AJF61" s="301"/>
      <c r="AJG61" s="301"/>
      <c r="AJH61" s="301"/>
      <c r="AJI61" s="301"/>
      <c r="AJJ61" s="301"/>
      <c r="AJK61" s="301"/>
      <c r="AJL61" s="301"/>
      <c r="AJM61" s="301"/>
      <c r="AJN61" s="301"/>
      <c r="AJO61" s="301"/>
      <c r="AJP61" s="301"/>
      <c r="AJQ61" s="301"/>
      <c r="AJR61" s="301"/>
      <c r="AJS61" s="301"/>
      <c r="AJT61" s="301"/>
      <c r="AJU61" s="301"/>
      <c r="AJV61" s="301"/>
      <c r="AJW61" s="301"/>
      <c r="AJX61" s="301"/>
      <c r="AJY61" s="301"/>
      <c r="AJZ61" s="301"/>
      <c r="AKA61" s="301"/>
      <c r="AKB61" s="301"/>
      <c r="AKC61" s="301"/>
      <c r="AKD61" s="301"/>
      <c r="AKE61" s="301"/>
      <c r="AKF61" s="301"/>
      <c r="AKG61" s="301"/>
      <c r="AKH61" s="301"/>
      <c r="AKI61" s="301"/>
      <c r="AKJ61" s="301"/>
      <c r="AKK61" s="301"/>
      <c r="AKL61" s="301"/>
      <c r="AKM61" s="301"/>
      <c r="AKN61" s="301"/>
      <c r="AKO61" s="301"/>
      <c r="AKP61" s="301"/>
      <c r="AKQ61" s="301"/>
      <c r="AKR61" s="301"/>
      <c r="AKS61" s="301"/>
      <c r="AKT61" s="301"/>
      <c r="AKU61" s="301"/>
      <c r="AKV61" s="301"/>
      <c r="AKW61" s="301"/>
      <c r="AKX61" s="301"/>
      <c r="AKY61" s="301"/>
      <c r="AKZ61" s="301"/>
      <c r="ALA61" s="301"/>
      <c r="ALB61" s="301"/>
      <c r="ALC61" s="301"/>
      <c r="ALD61" s="301"/>
      <c r="ALE61" s="301"/>
      <c r="ALF61" s="301"/>
      <c r="ALG61" s="301"/>
      <c r="ALH61" s="301"/>
      <c r="ALI61" s="301"/>
      <c r="ALJ61" s="301"/>
      <c r="ALK61" s="301"/>
      <c r="ALL61" s="301"/>
      <c r="ALM61" s="301"/>
      <c r="ALN61" s="301"/>
      <c r="ALO61" s="301"/>
      <c r="ALP61" s="301"/>
      <c r="ALQ61" s="301"/>
      <c r="ALR61" s="301"/>
      <c r="ALS61" s="301"/>
      <c r="ALT61" s="301"/>
      <c r="ALU61" s="301"/>
      <c r="ALV61" s="301"/>
      <c r="ALW61" s="301"/>
      <c r="ALX61" s="301"/>
      <c r="ALY61" s="301"/>
      <c r="ALZ61" s="301"/>
      <c r="AMA61" s="301"/>
      <c r="AMB61" s="301"/>
      <c r="AMC61" s="301"/>
      <c r="AMD61" s="301"/>
      <c r="AME61" s="301"/>
      <c r="AMF61" s="301"/>
      <c r="AMG61" s="301"/>
      <c r="AMH61" s="1"/>
      <c r="AMI61" s="1"/>
      <c r="AMJ61" s="1"/>
    </row>
    <row r="62" customFormat="false" ht="6.95" hidden="false" customHeight="true" outlineLevel="0" collapsed="false">
      <c r="A62" s="333"/>
      <c r="B62" s="333"/>
      <c r="C62" s="333"/>
      <c r="D62" s="333"/>
      <c r="E62" s="333"/>
      <c r="F62" s="333"/>
      <c r="G62" s="333"/>
      <c r="H62" s="336"/>
      <c r="I62" s="336"/>
      <c r="J62" s="336"/>
      <c r="K62" s="336"/>
      <c r="AMH62" s="1"/>
      <c r="AMI62" s="1"/>
      <c r="AMJ62" s="1"/>
    </row>
    <row r="63" customFormat="false" ht="12.8" hidden="false" customHeight="false" outlineLevel="0" collapsed="false">
      <c r="A63" s="1"/>
      <c r="B63" s="1"/>
      <c r="C63" s="1"/>
      <c r="D63" s="1"/>
    </row>
    <row r="64" customFormat="false" ht="37.3" hidden="false" customHeight="true" outlineLevel="0" collapsed="false">
      <c r="A64" s="1"/>
      <c r="B64" s="1"/>
      <c r="C64" s="1"/>
      <c r="D64" s="1"/>
    </row>
    <row r="65" customFormat="false" ht="12.8" hidden="false" customHeight="false" outlineLevel="0" collapsed="false">
      <c r="A65" s="1"/>
      <c r="B65" s="1"/>
      <c r="C65" s="1"/>
      <c r="D65" s="1"/>
    </row>
    <row r="66" customFormat="false" ht="12.8" hidden="false" customHeight="false" outlineLevel="0" collapsed="false">
      <c r="A66" s="1"/>
      <c r="B66" s="1"/>
      <c r="C66" s="1"/>
      <c r="D66" s="1"/>
    </row>
    <row r="67" customFormat="false" ht="12.8" hidden="false" customHeight="false" outlineLevel="0" collapsed="false">
      <c r="A67" s="1"/>
      <c r="B67" s="1"/>
      <c r="C67" s="1"/>
      <c r="D67" s="1"/>
    </row>
    <row r="68" customFormat="false" ht="12.8" hidden="false" customHeight="false" outlineLevel="0" collapsed="false">
      <c r="A68" s="1"/>
      <c r="B68" s="1"/>
      <c r="C68" s="1"/>
      <c r="D68" s="1"/>
    </row>
  </sheetData>
  <mergeCells count="12">
    <mergeCell ref="L9:L10"/>
    <mergeCell ref="L12:L13"/>
    <mergeCell ref="M12:M13"/>
    <mergeCell ref="G57:H57"/>
    <mergeCell ref="I57:K57"/>
    <mergeCell ref="G59:H59"/>
    <mergeCell ref="I59:K59"/>
    <mergeCell ref="G60:H60"/>
    <mergeCell ref="I60:K60"/>
    <mergeCell ref="E61:F61"/>
    <mergeCell ref="G61:H61"/>
    <mergeCell ref="I61:K61"/>
  </mergeCells>
  <conditionalFormatting sqref="I61 G61">
    <cfRule type="cellIs" priority="2" operator="greaterThan" aboveAverage="0" equalAverage="0" bottom="0" percent="0" rank="0" text="" dxfId="12">
      <formula>0</formula>
    </cfRule>
    <cfRule type="cellIs" priority="3" operator="lessThan" aboveAverage="0" equalAverage="0" bottom="0" percent="0" rank="0" text="" dxfId="7">
      <formula>0</formula>
    </cfRule>
  </conditionalFormatting>
  <dataValidations count="1">
    <dataValidation allowBlank="true" errorStyle="stop" operator="equal" showDropDown="false" showErrorMessage="true" showInputMessage="false" sqref="M11:M12" type="list">
      <formula1>"Yes,No"</formula1>
      <formula2>0</formula2>
    </dataValidation>
  </dataValidations>
  <printOptions headings="false" gridLines="false" gridLinesSet="true" horizontalCentered="false" verticalCentered="false"/>
  <pageMargins left="0.7875" right="0.7875" top="1.02638888888889" bottom="1.02638888888889"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4000"/>
    <pageSetUpPr fitToPage="false"/>
  </sheetPr>
  <dimension ref="A1:D66"/>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A1" activeCellId="0" sqref="A1"/>
    </sheetView>
  </sheetViews>
  <sheetFormatPr defaultColWidth="11.53515625" defaultRowHeight="12.8" customHeight="true" zeroHeight="false" outlineLevelRow="0" outlineLevelCol="0"/>
  <cols>
    <col collapsed="false" customWidth="true" hidden="false" outlineLevel="0" max="1" min="1" style="1" width="27.09"/>
    <col collapsed="false" customWidth="true" hidden="false" outlineLevel="0" max="2" min="2" style="1" width="15.66"/>
    <col collapsed="false" customWidth="true" hidden="false" outlineLevel="0" max="3" min="3" style="1" width="22.99"/>
    <col collapsed="false" customWidth="true" hidden="false" outlineLevel="0" max="4" min="4" style="1" width="154.94"/>
  </cols>
  <sheetData>
    <row r="1" customFormat="false" ht="12.8" hidden="false" customHeight="false" outlineLevel="0" collapsed="false">
      <c r="A1" s="340" t="s">
        <v>230</v>
      </c>
      <c r="B1" s="340"/>
      <c r="C1" s="341" t="s">
        <v>231</v>
      </c>
      <c r="D1" s="341"/>
    </row>
    <row r="2" customFormat="false" ht="12.8" hidden="false" customHeight="false" outlineLevel="0" collapsed="false">
      <c r="C2" s="341"/>
      <c r="D2" s="341"/>
    </row>
    <row r="4" customFormat="false" ht="12.8" hidden="false" customHeight="false" outlineLevel="0" collapsed="false">
      <c r="A4" s="1" t="s">
        <v>232</v>
      </c>
      <c r="B4" s="182" t="s">
        <v>233</v>
      </c>
      <c r="C4" s="182"/>
      <c r="D4" s="182"/>
    </row>
    <row r="10" customFormat="false" ht="12.8" hidden="false" customHeight="false" outlineLevel="0" collapsed="false">
      <c r="A10" s="182" t="s">
        <v>234</v>
      </c>
      <c r="B10" s="182"/>
      <c r="C10" s="182"/>
      <c r="D10" s="182"/>
    </row>
    <row r="12" customFormat="false" ht="13.8" hidden="false" customHeight="false" outlineLevel="0" collapsed="false">
      <c r="A12" s="342"/>
      <c r="B12" s="343"/>
      <c r="C12" s="344" t="s">
        <v>55</v>
      </c>
      <c r="D12" s="1" t="s">
        <v>235</v>
      </c>
    </row>
    <row r="13" customFormat="false" ht="13.8" hidden="false" customHeight="false" outlineLevel="0" collapsed="false">
      <c r="A13" s="342"/>
      <c r="B13" s="343"/>
      <c r="C13" s="344" t="s">
        <v>236</v>
      </c>
      <c r="D13" s="1" t="s">
        <v>237</v>
      </c>
    </row>
    <row r="14" customFormat="false" ht="13.8" hidden="false" customHeight="false" outlineLevel="0" collapsed="false">
      <c r="A14" s="345"/>
      <c r="B14" s="343"/>
      <c r="C14" s="344" t="s">
        <v>64</v>
      </c>
      <c r="D14" s="1" t="s">
        <v>238</v>
      </c>
    </row>
    <row r="15" customFormat="false" ht="13.8" hidden="false" customHeight="false" outlineLevel="0" collapsed="false">
      <c r="A15" s="345"/>
      <c r="B15" s="343"/>
      <c r="C15" s="344" t="s">
        <v>239</v>
      </c>
      <c r="D15" s="1" t="s">
        <v>240</v>
      </c>
    </row>
    <row r="16" customFormat="false" ht="13.8" hidden="false" customHeight="false" outlineLevel="0" collapsed="false">
      <c r="A16" s="345"/>
      <c r="B16" s="343"/>
      <c r="C16" s="344" t="s">
        <v>73</v>
      </c>
      <c r="D16" s="1" t="s">
        <v>241</v>
      </c>
    </row>
    <row r="17" customFormat="false" ht="13.8" hidden="false" customHeight="false" outlineLevel="0" collapsed="false">
      <c r="A17" s="345"/>
      <c r="B17" s="343"/>
      <c r="C17" s="344" t="s">
        <v>242</v>
      </c>
      <c r="D17" s="1" t="s">
        <v>243</v>
      </c>
    </row>
    <row r="18" customFormat="false" ht="12.8" hidden="false" customHeight="false" outlineLevel="0" collapsed="false">
      <c r="A18" s="346" t="str">
        <f aca="false">"Funds Change"</f>
        <v>Funds Change</v>
      </c>
      <c r="B18" s="346"/>
      <c r="C18" s="346"/>
      <c r="D18" s="347" t="s">
        <v>244</v>
      </c>
    </row>
    <row r="19" customFormat="false" ht="13.8" hidden="false" customHeight="false" outlineLevel="0" collapsed="false">
      <c r="A19" s="348"/>
      <c r="B19" s="343"/>
      <c r="C19" s="344" t="s">
        <v>245</v>
      </c>
      <c r="D19" s="1" t="s">
        <v>246</v>
      </c>
    </row>
    <row r="20" customFormat="false" ht="13.8" hidden="false" customHeight="false" outlineLevel="0" collapsed="false">
      <c r="A20" s="342"/>
      <c r="B20" s="343"/>
      <c r="C20" s="344" t="s">
        <v>247</v>
      </c>
      <c r="D20" s="347" t="s">
        <v>244</v>
      </c>
    </row>
    <row r="21" customFormat="false" ht="13.8" hidden="false" customHeight="false" outlineLevel="0" collapsed="false">
      <c r="A21" s="345"/>
      <c r="B21" s="343"/>
      <c r="C21" s="344" t="s">
        <v>248</v>
      </c>
      <c r="D21" s="1" t="s">
        <v>249</v>
      </c>
    </row>
    <row r="22" customFormat="false" ht="13.8" hidden="false" customHeight="false" outlineLevel="0" collapsed="false">
      <c r="A22" s="345"/>
      <c r="B22" s="343"/>
      <c r="C22" s="344" t="s">
        <v>250</v>
      </c>
      <c r="D22" s="1" t="s">
        <v>251</v>
      </c>
    </row>
    <row r="23" customFormat="false" ht="13.8" hidden="false" customHeight="false" outlineLevel="0" collapsed="false">
      <c r="A23" s="345"/>
      <c r="B23" s="343"/>
      <c r="C23" s="344" t="s">
        <v>252</v>
      </c>
      <c r="D23" s="1" t="s">
        <v>253</v>
      </c>
    </row>
    <row r="25" customFormat="false" ht="12.8" hidden="false" customHeight="false" outlineLevel="0" collapsed="false">
      <c r="A25" s="340" t="s">
        <v>254</v>
      </c>
      <c r="B25" s="340"/>
      <c r="C25" s="340"/>
      <c r="D25" s="340" t="s">
        <v>255</v>
      </c>
    </row>
    <row r="26" customFormat="false" ht="12.8" hidden="false" customHeight="false" outlineLevel="0" collapsed="false">
      <c r="A26" s="349"/>
      <c r="B26" s="350"/>
      <c r="C26" s="351" t="s">
        <v>61</v>
      </c>
      <c r="D26" s="347" t="s">
        <v>255</v>
      </c>
    </row>
    <row r="27" customFormat="false" ht="12.8" hidden="false" customHeight="false" outlineLevel="0" collapsed="false">
      <c r="A27" s="352"/>
      <c r="B27" s="353"/>
      <c r="C27" s="354" t="s">
        <v>65</v>
      </c>
      <c r="D27" s="347" t="s">
        <v>255</v>
      </c>
    </row>
    <row r="28" customFormat="false" ht="12.8" hidden="false" customHeight="false" outlineLevel="0" collapsed="false">
      <c r="A28" s="352"/>
      <c r="B28" s="353"/>
      <c r="C28" s="354" t="s">
        <v>69</v>
      </c>
      <c r="D28" s="347" t="s">
        <v>255</v>
      </c>
    </row>
    <row r="29" customFormat="false" ht="14.1" hidden="false" customHeight="true" outlineLevel="0" collapsed="false">
      <c r="A29" s="352"/>
      <c r="B29" s="353"/>
      <c r="C29" s="354" t="s">
        <v>256</v>
      </c>
      <c r="D29" s="347" t="s">
        <v>255</v>
      </c>
    </row>
    <row r="30" customFormat="false" ht="12.8" hidden="false" customHeight="false" outlineLevel="0" collapsed="false">
      <c r="A30" s="352"/>
      <c r="B30" s="353"/>
      <c r="C30" s="354" t="s">
        <v>79</v>
      </c>
      <c r="D30" s="347" t="s">
        <v>255</v>
      </c>
    </row>
    <row r="31" customFormat="false" ht="12.8" hidden="false" customHeight="false" outlineLevel="0" collapsed="false">
      <c r="A31" s="352"/>
      <c r="B31" s="353"/>
      <c r="C31" s="354" t="s">
        <v>257</v>
      </c>
      <c r="D31" s="347" t="s">
        <v>255</v>
      </c>
    </row>
    <row r="32" customFormat="false" ht="12.8" hidden="false" customHeight="true" outlineLevel="0" collapsed="false">
      <c r="A32" s="355" t="s">
        <v>258</v>
      </c>
      <c r="B32" s="355"/>
      <c r="C32" s="355"/>
      <c r="D32" s="347" t="s">
        <v>255</v>
      </c>
    </row>
    <row r="34" customFormat="false" ht="12.8" hidden="false" customHeight="false" outlineLevel="0" collapsed="false">
      <c r="A34" s="340" t="s">
        <v>259</v>
      </c>
      <c r="B34" s="340"/>
      <c r="C34" s="340"/>
      <c r="D34" s="340"/>
    </row>
    <row r="35" customFormat="false" ht="12.8" hidden="false" customHeight="false" outlineLevel="0" collapsed="false">
      <c r="A35" s="356" t="s">
        <v>260</v>
      </c>
      <c r="B35" s="356"/>
      <c r="C35" s="356"/>
      <c r="D35" s="1" t="s">
        <v>261</v>
      </c>
    </row>
    <row r="36" customFormat="false" ht="12.8" hidden="false" customHeight="false" outlineLevel="0" collapsed="false">
      <c r="A36" s="356" t="s">
        <v>262</v>
      </c>
      <c r="B36" s="356"/>
      <c r="C36" s="356"/>
      <c r="D36" s="1" t="s">
        <v>263</v>
      </c>
    </row>
    <row r="38" customFormat="false" ht="12.8" hidden="false" customHeight="false" outlineLevel="0" collapsed="false">
      <c r="A38" s="340" t="s">
        <v>264</v>
      </c>
      <c r="B38" s="340"/>
      <c r="C38" s="340"/>
      <c r="D38" s="340" t="s">
        <v>265</v>
      </c>
    </row>
    <row r="39" customFormat="false" ht="12.8" hidden="false" customHeight="false" outlineLevel="0" collapsed="false">
      <c r="A39" s="357" t="s">
        <v>57</v>
      </c>
      <c r="B39" s="358" t="s">
        <v>8</v>
      </c>
      <c r="D39" s="1" t="s">
        <v>266</v>
      </c>
    </row>
    <row r="40" customFormat="false" ht="12.8" hidden="false" customHeight="false" outlineLevel="0" collapsed="false">
      <c r="A40" s="357" t="s">
        <v>62</v>
      </c>
      <c r="B40" s="359" t="s">
        <v>8</v>
      </c>
      <c r="D40" s="1" t="s">
        <v>267</v>
      </c>
    </row>
    <row r="41" customFormat="false" ht="12.8" hidden="false" customHeight="false" outlineLevel="0" collapsed="false">
      <c r="A41" s="357" t="s">
        <v>66</v>
      </c>
      <c r="B41" s="266" t="s">
        <v>8</v>
      </c>
      <c r="D41" s="1" t="s">
        <v>267</v>
      </c>
    </row>
    <row r="42" customFormat="false" ht="12.8" hidden="false" customHeight="false" outlineLevel="0" collapsed="false">
      <c r="A42" s="357" t="s">
        <v>70</v>
      </c>
      <c r="B42" s="359" t="s">
        <v>8</v>
      </c>
      <c r="D42" s="1" t="s">
        <v>267</v>
      </c>
    </row>
    <row r="43" customFormat="false" ht="12.8" hidden="false" customHeight="false" outlineLevel="0" collapsed="false">
      <c r="A43" s="360" t="s">
        <v>268</v>
      </c>
      <c r="B43" s="360" t="s">
        <v>8</v>
      </c>
    </row>
    <row r="44" customFormat="false" ht="12.8" hidden="false" customHeight="false" outlineLevel="0" collapsed="false">
      <c r="A44" s="357" t="s">
        <v>80</v>
      </c>
      <c r="B44" s="361" t="n">
        <v>0</v>
      </c>
      <c r="D44" s="1" t="s">
        <v>269</v>
      </c>
    </row>
    <row r="45" customFormat="false" ht="12.8" hidden="false" customHeight="false" outlineLevel="0" collapsed="false">
      <c r="A45" s="357" t="s">
        <v>86</v>
      </c>
      <c r="B45" s="361" t="n">
        <v>0</v>
      </c>
      <c r="D45" s="1" t="s">
        <v>269</v>
      </c>
    </row>
    <row r="46" customFormat="false" ht="12.8" hidden="false" customHeight="false" outlineLevel="0" collapsed="false">
      <c r="A46" s="357" t="s">
        <v>91</v>
      </c>
      <c r="B46" s="361" t="n">
        <v>0</v>
      </c>
      <c r="D46" s="1" t="s">
        <v>269</v>
      </c>
    </row>
    <row r="47" customFormat="false" ht="12.8" hidden="false" customHeight="false" outlineLevel="0" collapsed="false">
      <c r="A47" s="357" t="s">
        <v>92</v>
      </c>
      <c r="B47" s="361" t="n">
        <v>0</v>
      </c>
      <c r="D47" s="1" t="s">
        <v>269</v>
      </c>
    </row>
    <row r="48" customFormat="false" ht="12.8" hidden="false" customHeight="false" outlineLevel="0" collapsed="false">
      <c r="A48" s="357" t="s">
        <v>8</v>
      </c>
      <c r="B48" s="361" t="n">
        <v>0</v>
      </c>
      <c r="D48" s="1" t="s">
        <v>269</v>
      </c>
    </row>
    <row r="49" customFormat="false" ht="12.8" hidden="false" customHeight="false" outlineLevel="0" collapsed="false">
      <c r="A49" s="357" t="s">
        <v>8</v>
      </c>
      <c r="B49" s="361" t="n">
        <v>0</v>
      </c>
      <c r="D49" s="1" t="s">
        <v>269</v>
      </c>
    </row>
    <row r="50" customFormat="false" ht="12.8" hidden="false" customHeight="false" outlineLevel="0" collapsed="false">
      <c r="A50" s="357"/>
      <c r="B50" s="361"/>
      <c r="D50" s="1" t="s">
        <v>269</v>
      </c>
    </row>
    <row r="51" customFormat="false" ht="12.8" hidden="false" customHeight="false" outlineLevel="0" collapsed="false">
      <c r="A51" s="362"/>
      <c r="B51" s="363" t="s">
        <v>8</v>
      </c>
      <c r="D51" s="1" t="s">
        <v>270</v>
      </c>
    </row>
    <row r="53" customFormat="false" ht="12.8" hidden="false" customHeight="false" outlineLevel="0" collapsed="false">
      <c r="A53" s="364" t="s">
        <v>271</v>
      </c>
      <c r="B53" s="361"/>
      <c r="D53" s="365" t="s">
        <v>272</v>
      </c>
    </row>
    <row r="54" customFormat="false" ht="12.8" hidden="false" customHeight="false" outlineLevel="0" collapsed="false">
      <c r="A54" s="364" t="s">
        <v>273</v>
      </c>
      <c r="B54" s="361"/>
      <c r="D54" s="1" t="s">
        <v>81</v>
      </c>
    </row>
    <row r="55" customFormat="false" ht="12.8" hidden="false" customHeight="false" outlineLevel="0" collapsed="false">
      <c r="D55" s="366" t="s">
        <v>274</v>
      </c>
    </row>
    <row r="56" customFormat="false" ht="12.8" hidden="false" customHeight="false" outlineLevel="0" collapsed="false">
      <c r="A56" s="367" t="s">
        <v>41</v>
      </c>
      <c r="B56" s="367" t="s">
        <v>275</v>
      </c>
    </row>
    <row r="57" customFormat="false" ht="12.8" hidden="false" customHeight="false" outlineLevel="0" collapsed="false">
      <c r="A57" s="368" t="s">
        <v>276</v>
      </c>
      <c r="B57" s="369" t="s">
        <v>8</v>
      </c>
    </row>
    <row r="58" customFormat="false" ht="12.8" hidden="false" customHeight="false" outlineLevel="0" collapsed="false">
      <c r="A58" s="368" t="s">
        <v>148</v>
      </c>
      <c r="B58" s="370" t="n">
        <v>0</v>
      </c>
      <c r="D58" s="1" t="s">
        <v>277</v>
      </c>
    </row>
    <row r="59" customFormat="false" ht="12.8" hidden="false" customHeight="false" outlineLevel="0" collapsed="false">
      <c r="A59" s="368" t="s">
        <v>154</v>
      </c>
      <c r="B59" s="369" t="s">
        <v>8</v>
      </c>
    </row>
    <row r="60" customFormat="false" ht="12.8" hidden="false" customHeight="false" outlineLevel="0" collapsed="false">
      <c r="A60" s="368" t="s">
        <v>155</v>
      </c>
      <c r="B60" s="371" t="s">
        <v>8</v>
      </c>
    </row>
    <row r="61" customFormat="false" ht="12.8" hidden="false" customHeight="false" outlineLevel="0" collapsed="false">
      <c r="A61" s="368" t="s">
        <v>156</v>
      </c>
      <c r="B61" s="371" t="s">
        <v>8</v>
      </c>
    </row>
    <row r="62" customFormat="false" ht="12.8" hidden="false" customHeight="false" outlineLevel="0" collapsed="false">
      <c r="A62" s="368" t="s">
        <v>8</v>
      </c>
      <c r="B62" s="371" t="s">
        <v>8</v>
      </c>
    </row>
    <row r="63" customFormat="false" ht="12.8" hidden="false" customHeight="false" outlineLevel="0" collapsed="false">
      <c r="A63" s="368" t="s">
        <v>160</v>
      </c>
      <c r="B63" s="371" t="s">
        <v>8</v>
      </c>
    </row>
    <row r="64" customFormat="false" ht="12.8" hidden="false" customHeight="false" outlineLevel="0" collapsed="false">
      <c r="A64" s="368" t="s">
        <v>161</v>
      </c>
      <c r="B64" s="371" t="s">
        <v>8</v>
      </c>
    </row>
    <row r="65" customFormat="false" ht="12.8" hidden="false" customHeight="false" outlineLevel="0" collapsed="false">
      <c r="A65" s="372" t="s">
        <v>162</v>
      </c>
      <c r="B65" s="373" t="s">
        <v>8</v>
      </c>
    </row>
    <row r="66" customFormat="false" ht="12.8" hidden="false" customHeight="false" outlineLevel="0" collapsed="false">
      <c r="A66" s="261" t="s">
        <v>163</v>
      </c>
      <c r="B66" s="371" t="s">
        <v>8</v>
      </c>
    </row>
  </sheetData>
  <mergeCells count="8">
    <mergeCell ref="C1:D2"/>
    <mergeCell ref="B4:D4"/>
    <mergeCell ref="A10:D10"/>
    <mergeCell ref="A18:C18"/>
    <mergeCell ref="A32:C32"/>
    <mergeCell ref="A35:C35"/>
    <mergeCell ref="A36:C36"/>
    <mergeCell ref="A43:B43"/>
  </mergeCells>
  <hyperlinks>
    <hyperlink ref="D53" r:id="rId2" display="https://www.ssa.gov/benefits/retirement/planner/whileworking.html Check the web site for current year income cap. Enter for accurate calculation"/>
    <hyperlink ref="D55" r:id="rId3" display="https://www-origin.ssa.gov/benefits/retirement/planner/taxes.html "/>
  </hyperlinks>
  <printOptions headings="false" gridLines="false" gridLinesSet="true" horizontalCentered="false" verticalCentered="false"/>
  <pageMargins left="0.7875" right="0.7875" top="1.025" bottom="1.025"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B5E9B"/>
    <pageSetUpPr fitToPage="false"/>
  </sheetPr>
  <dimension ref="A1:K4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G2" activeCellId="0" sqref="G2"/>
    </sheetView>
  </sheetViews>
  <sheetFormatPr defaultColWidth="11.53515625" defaultRowHeight="12.8" customHeight="false" zeroHeight="false" outlineLevelRow="0" outlineLevelCol="0"/>
  <cols>
    <col collapsed="false" customWidth="true" hidden="false" outlineLevel="0" max="1" min="1" style="1" width="16.27"/>
    <col collapsed="false" customWidth="true" hidden="false" outlineLevel="0" max="2" min="2" style="1" width="19.2"/>
    <col collapsed="false" customWidth="true" hidden="false" outlineLevel="0" max="3" min="3" style="1" width="17.24"/>
    <col collapsed="false" customWidth="true" hidden="false" outlineLevel="0" max="4" min="4" style="1" width="15.16"/>
    <col collapsed="false" customWidth="true" hidden="false" outlineLevel="0" max="5" min="5" style="1" width="17.39"/>
    <col collapsed="false" customWidth="true" hidden="false" outlineLevel="0" max="6" min="6" style="1" width="20.17"/>
    <col collapsed="false" customWidth="true" hidden="false" outlineLevel="0" max="7" min="7" style="1" width="23.09"/>
    <col collapsed="false" customWidth="true" hidden="false" outlineLevel="0" max="8" min="8" style="1" width="23.65"/>
    <col collapsed="false" customWidth="true" hidden="false" outlineLevel="0" max="9" min="9" style="1" width="23.37"/>
    <col collapsed="false" customWidth="true" hidden="true" outlineLevel="0" max="10" min="10" style="1" width="1.39"/>
    <col collapsed="false" customWidth="true" hidden="false" outlineLevel="0" max="11" min="11" style="59" width="19.33"/>
    <col collapsed="false" customWidth="true" hidden="false" outlineLevel="0" max="12" min="12" style="1" width="21.84"/>
  </cols>
  <sheetData>
    <row r="1" customFormat="false" ht="12.8" hidden="false" customHeight="false" outlineLevel="0" collapsed="false">
      <c r="A1" s="374" t="s">
        <v>278</v>
      </c>
      <c r="B1" s="374" t="s">
        <v>279</v>
      </c>
      <c r="C1" s="374" t="s">
        <v>280</v>
      </c>
      <c r="D1" s="374" t="s">
        <v>281</v>
      </c>
      <c r="E1" s="374" t="s">
        <v>282</v>
      </c>
      <c r="F1" s="374" t="s">
        <v>283</v>
      </c>
      <c r="G1" s="374" t="s">
        <v>284</v>
      </c>
      <c r="H1" s="374" t="s">
        <v>285</v>
      </c>
      <c r="I1" s="127" t="s">
        <v>286</v>
      </c>
      <c r="J1" s="127"/>
      <c r="K1" s="127" t="s">
        <v>287</v>
      </c>
    </row>
    <row r="2" customFormat="false" ht="12.8" hidden="false" customHeight="false" outlineLevel="0" collapsed="false">
      <c r="A2" s="28" t="s">
        <v>288</v>
      </c>
      <c r="B2" s="28" t="s">
        <v>289</v>
      </c>
      <c r="C2" s="375" t="n">
        <v>0.04125</v>
      </c>
      <c r="D2" s="28" t="n">
        <v>50000</v>
      </c>
      <c r="E2" s="16" t="n">
        <f aca="false">IF(A2="",D2*C2,D2*C2/2)</f>
        <v>1031.25</v>
      </c>
      <c r="F2" s="16" t="n">
        <f aca="false">IF(A2="", E2,E2*2)</f>
        <v>2062.5</v>
      </c>
      <c r="G2" s="28" t="n">
        <v>5</v>
      </c>
      <c r="H2" s="16" t="n">
        <f aca="false">G2*F2</f>
        <v>10312.5</v>
      </c>
      <c r="I2" s="127" t="s">
        <v>290</v>
      </c>
      <c r="J2" s="127"/>
      <c r="K2" s="376" t="n">
        <v>48060</v>
      </c>
    </row>
    <row r="3" customFormat="false" ht="12.8" hidden="false" customHeight="false" outlineLevel="0" collapsed="false">
      <c r="A3" s="377" t="s">
        <v>291</v>
      </c>
      <c r="B3" s="28" t="s">
        <v>292</v>
      </c>
      <c r="C3" s="375" t="n">
        <v>0.06125</v>
      </c>
      <c r="D3" s="28" t="n">
        <v>50000</v>
      </c>
      <c r="E3" s="16" t="n">
        <f aca="false">IF(A3="",D3*C3,D3*C3/2)</f>
        <v>1531.25</v>
      </c>
      <c r="F3" s="16" t="n">
        <f aca="false">IF(A3="", E3,E3*2)</f>
        <v>3062.5</v>
      </c>
      <c r="G3" s="28" t="n">
        <v>3</v>
      </c>
      <c r="H3" s="16" t="n">
        <f aca="false">G3*F3</f>
        <v>9187.5</v>
      </c>
      <c r="I3" s="127" t="s">
        <v>290</v>
      </c>
      <c r="J3" s="127"/>
      <c r="K3" s="376" t="n">
        <v>47345</v>
      </c>
    </row>
    <row r="4" customFormat="false" ht="12.8" hidden="false" customHeight="false" outlineLevel="0" collapsed="false">
      <c r="A4" s="377" t="s">
        <v>291</v>
      </c>
      <c r="B4" s="28" t="s">
        <v>292</v>
      </c>
      <c r="C4" s="375" t="n">
        <v>0.055</v>
      </c>
      <c r="D4" s="28" t="n">
        <v>50000</v>
      </c>
      <c r="E4" s="16" t="n">
        <f aca="false">IF(A4="",D4*C4,D4*C4/2)</f>
        <v>1375</v>
      </c>
      <c r="F4" s="16" t="n">
        <f aca="false">IF(A4="", E4,E4*2)</f>
        <v>2750</v>
      </c>
      <c r="G4" s="28" t="n">
        <v>2</v>
      </c>
      <c r="H4" s="16" t="n">
        <f aca="false">G4*F4</f>
        <v>5500</v>
      </c>
      <c r="I4" s="127" t="s">
        <v>290</v>
      </c>
      <c r="J4" s="127"/>
      <c r="K4" s="376" t="n">
        <v>46980</v>
      </c>
    </row>
    <row r="5" customFormat="false" ht="12.8" hidden="false" customHeight="false" outlineLevel="0" collapsed="false">
      <c r="A5" s="28" t="s">
        <v>293</v>
      </c>
      <c r="B5" s="28" t="s">
        <v>294</v>
      </c>
      <c r="C5" s="375" t="n">
        <v>0.04125</v>
      </c>
      <c r="D5" s="28" t="n">
        <v>50000</v>
      </c>
      <c r="E5" s="16" t="n">
        <f aca="false">IF(A5="",D5*C5,D5*C5/2)</f>
        <v>1031.25</v>
      </c>
      <c r="F5" s="16" t="n">
        <f aca="false">IF(A5="", E5,E5*2)</f>
        <v>2062.5</v>
      </c>
      <c r="G5" s="28" t="n">
        <v>1</v>
      </c>
      <c r="H5" s="16" t="n">
        <f aca="false">G5*F5</f>
        <v>2062.5</v>
      </c>
      <c r="I5" s="127" t="s">
        <v>290</v>
      </c>
      <c r="J5" s="127"/>
      <c r="K5" s="376" t="n">
        <v>46660</v>
      </c>
    </row>
    <row r="6" customFormat="false" ht="12.8" hidden="false" customHeight="false" outlineLevel="0" collapsed="false">
      <c r="A6" s="28" t="s">
        <v>295</v>
      </c>
      <c r="B6" s="28" t="s">
        <v>296</v>
      </c>
      <c r="C6" s="375" t="n">
        <v>0.0625</v>
      </c>
      <c r="D6" s="28" t="n">
        <v>50000</v>
      </c>
      <c r="E6" s="16" t="n">
        <f aca="false">IF(A6="",D6*C6,D6*C6/2)</f>
        <v>1562.5</v>
      </c>
      <c r="F6" s="16" t="n">
        <f aca="false">IF(A6="", E6,E6*2)</f>
        <v>3125</v>
      </c>
      <c r="G6" s="28" t="n">
        <v>4</v>
      </c>
      <c r="H6" s="16" t="n">
        <f aca="false">G6*F6</f>
        <v>12500</v>
      </c>
      <c r="I6" s="127" t="s">
        <v>290</v>
      </c>
      <c r="J6" s="127"/>
      <c r="K6" s="376" t="n">
        <v>47618</v>
      </c>
    </row>
    <row r="7" customFormat="false" ht="12.8" hidden="false" customHeight="false" outlineLevel="0" collapsed="false">
      <c r="A7" s="28" t="s">
        <v>295</v>
      </c>
      <c r="B7" s="28" t="s">
        <v>296</v>
      </c>
      <c r="C7" s="375" t="n">
        <v>0.06125</v>
      </c>
      <c r="D7" s="28" t="n">
        <v>50000</v>
      </c>
      <c r="E7" s="16" t="n">
        <f aca="false">IF(A7="",D7*C7,D7*C7/2)</f>
        <v>1531.25</v>
      </c>
      <c r="F7" s="16" t="n">
        <f aca="false">IF(A7="", E7,E7*2)</f>
        <v>3062.5</v>
      </c>
      <c r="G7" s="28" t="n">
        <v>1</v>
      </c>
      <c r="H7" s="16" t="n">
        <f aca="false">G7*F7</f>
        <v>3062.5</v>
      </c>
      <c r="I7" s="127" t="s">
        <v>290</v>
      </c>
      <c r="J7" s="127"/>
      <c r="K7" s="376" t="n">
        <v>46706</v>
      </c>
    </row>
    <row r="8" customFormat="false" ht="12.8" hidden="false" customHeight="false" outlineLevel="0" collapsed="false">
      <c r="A8" s="28" t="s">
        <v>295</v>
      </c>
      <c r="B8" s="28" t="s">
        <v>296</v>
      </c>
      <c r="C8" s="375" t="n">
        <v>0.04</v>
      </c>
      <c r="D8" s="28" t="n">
        <v>50000</v>
      </c>
      <c r="E8" s="16" t="n">
        <f aca="false">IF(A8="",D8*C8,D8*C8/2)</f>
        <v>1000</v>
      </c>
      <c r="F8" s="16" t="n">
        <f aca="false">IF(A8="", E8,E8*2)</f>
        <v>2000</v>
      </c>
      <c r="G8" s="28" t="n">
        <v>3.5</v>
      </c>
      <c r="H8" s="16" t="n">
        <f aca="false">G8*F8</f>
        <v>7000</v>
      </c>
      <c r="I8" s="127" t="s">
        <v>290</v>
      </c>
      <c r="J8" s="127"/>
      <c r="K8" s="378" t="n">
        <v>47542</v>
      </c>
    </row>
    <row r="9" customFormat="false" ht="12.8" hidden="false" customHeight="false" outlineLevel="0" collapsed="false">
      <c r="A9" s="379"/>
      <c r="B9" s="28" t="s">
        <v>297</v>
      </c>
      <c r="C9" s="375" t="n">
        <v>0.057</v>
      </c>
      <c r="D9" s="28" t="n">
        <v>50000</v>
      </c>
      <c r="E9" s="16" t="n">
        <f aca="false">IF(A9="",D9*C9,D9*C9/2)</f>
        <v>2850</v>
      </c>
      <c r="F9" s="16" t="n">
        <f aca="false">IF(A9="", E9,E9*2)</f>
        <v>2850</v>
      </c>
      <c r="G9" s="28" t="n">
        <v>2</v>
      </c>
      <c r="H9" s="16" t="n">
        <f aca="false">G9*F9</f>
        <v>5700</v>
      </c>
      <c r="I9" s="59" t="s">
        <v>298</v>
      </c>
      <c r="J9" s="114" t="n">
        <f aca="false">IFERROR(IF(Worksheet!D9="Annually", 0 , H13*(1+Worksheet!D14)),0)</f>
        <v>76257.5</v>
      </c>
      <c r="K9" s="378" t="n">
        <v>46874</v>
      </c>
    </row>
    <row r="10" customFormat="false" ht="12.8" hidden="false" customHeight="false" outlineLevel="0" collapsed="false">
      <c r="A10" s="379" t="s">
        <v>299</v>
      </c>
      <c r="B10" s="28" t="s">
        <v>297</v>
      </c>
      <c r="C10" s="375" t="n">
        <v>0.04</v>
      </c>
      <c r="D10" s="28" t="n">
        <v>50000</v>
      </c>
      <c r="E10" s="16" t="n">
        <f aca="false">IF(A10="",D10*C10,D10*C10/2)</f>
        <v>1000</v>
      </c>
      <c r="F10" s="16" t="n">
        <f aca="false">IF(A10="", E10,E10*2)</f>
        <v>2000</v>
      </c>
      <c r="G10" s="28" t="n">
        <v>2</v>
      </c>
      <c r="H10" s="16" t="n">
        <f aca="false">G10*F10</f>
        <v>4000</v>
      </c>
      <c r="I10" s="59" t="s">
        <v>300</v>
      </c>
      <c r="J10" s="114" t="n">
        <f aca="false">J9-H13</f>
        <v>6932.5</v>
      </c>
      <c r="K10" s="378" t="n">
        <v>46762</v>
      </c>
    </row>
    <row r="11" customFormat="false" ht="12.8" hidden="false" customHeight="false" outlineLevel="0" collapsed="false">
      <c r="A11" s="377" t="s">
        <v>291</v>
      </c>
      <c r="B11" s="28" t="s">
        <v>292</v>
      </c>
      <c r="C11" s="375" t="n">
        <v>0.04</v>
      </c>
      <c r="D11" s="28" t="n">
        <v>50000</v>
      </c>
      <c r="E11" s="16" t="n">
        <f aca="false">IF(A11="",D11*C11,D11*C11/2)</f>
        <v>1000</v>
      </c>
      <c r="F11" s="16" t="n">
        <f aca="false">IF(A11="", E11,E11*2)</f>
        <v>2000</v>
      </c>
      <c r="G11" s="28" t="n">
        <v>5</v>
      </c>
      <c r="H11" s="16" t="n">
        <f aca="false">G11*F11</f>
        <v>10000</v>
      </c>
      <c r="I11" s="59" t="s">
        <v>300</v>
      </c>
      <c r="K11" s="378" t="n">
        <v>47542</v>
      </c>
    </row>
    <row r="12" customFormat="false" ht="12.8" hidden="false" customHeight="false" outlineLevel="0" collapsed="false">
      <c r="F12" s="380" t="s">
        <v>301</v>
      </c>
      <c r="H12" s="380" t="s">
        <v>302</v>
      </c>
      <c r="I12" s="59"/>
    </row>
    <row r="13" customFormat="false" ht="12.8" hidden="false" customHeight="false" outlineLevel="0" collapsed="false">
      <c r="C13" s="304" t="s">
        <v>303</v>
      </c>
      <c r="D13" s="304"/>
      <c r="E13" s="304"/>
      <c r="F13" s="381" t="n">
        <f aca="false">SUM(F2:F11)</f>
        <v>24975</v>
      </c>
      <c r="H13" s="381" t="n">
        <f aca="false">SUM(H2:H11)</f>
        <v>69325</v>
      </c>
    </row>
    <row r="14" customFormat="false" ht="12.8" hidden="false" customHeight="false" outlineLevel="0" collapsed="false">
      <c r="A14" s="382" t="s">
        <v>304</v>
      </c>
      <c r="B14" s="382"/>
      <c r="H14" s="127" t="s">
        <v>305</v>
      </c>
    </row>
    <row r="15" customFormat="false" ht="12.8" hidden="false" customHeight="false" outlineLevel="0" collapsed="false">
      <c r="A15" s="382" t="s">
        <v>306</v>
      </c>
      <c r="B15" s="382"/>
      <c r="H15" s="381" t="n">
        <f aca="false">H13-J10</f>
        <v>62392.5</v>
      </c>
    </row>
    <row r="16" customFormat="false" ht="12.8" hidden="false" customHeight="false" outlineLevel="0" collapsed="false">
      <c r="G16" s="1" t="s">
        <v>307</v>
      </c>
      <c r="H16" s="114" t="n">
        <v>-15000</v>
      </c>
      <c r="I16" s="71" t="s">
        <v>308</v>
      </c>
      <c r="J16" s="71"/>
      <c r="K16" s="71"/>
    </row>
    <row r="17" customFormat="false" ht="12.8" hidden="false" customHeight="false" outlineLevel="0" collapsed="false">
      <c r="H17" s="114" t="n">
        <f aca="false">H15+H16</f>
        <v>47392.5</v>
      </c>
    </row>
    <row r="18" customFormat="false" ht="12.8" hidden="false" customHeight="false" outlineLevel="0" collapsed="false">
      <c r="G18" s="1" t="s">
        <v>309</v>
      </c>
      <c r="H18" s="383" t="n">
        <f aca="false">H17/SUM(D2:D10)/AVERAGE(G2:G10)</f>
        <v>0.0403340425531915</v>
      </c>
    </row>
    <row r="21" customFormat="false" ht="12.8" hidden="false" customHeight="false" outlineLevel="0" collapsed="false">
      <c r="A21" s="384" t="s">
        <v>310</v>
      </c>
      <c r="B21" s="384"/>
    </row>
    <row r="22" customFormat="false" ht="12.8" hidden="false" customHeight="false" outlineLevel="0" collapsed="false">
      <c r="A22" s="385" t="s">
        <v>311</v>
      </c>
      <c r="B22" s="385" t="s">
        <v>312</v>
      </c>
    </row>
    <row r="23" customFormat="false" ht="12.8" hidden="false" customHeight="false" outlineLevel="0" collapsed="false">
      <c r="A23" s="385" t="s">
        <v>288</v>
      </c>
      <c r="B23" s="386" t="n">
        <f aca="false">SUMIF($A$2:$A$11, A23, $E$2:$E$11)</f>
        <v>1031.25</v>
      </c>
    </row>
    <row r="24" customFormat="false" ht="12.8" hidden="false" customHeight="false" outlineLevel="0" collapsed="false">
      <c r="A24" s="385" t="s">
        <v>291</v>
      </c>
      <c r="B24" s="386" t="n">
        <f aca="false">SUMIF($A$2:$A$11, A24, $E$2:$E$11)</f>
        <v>3906.25</v>
      </c>
    </row>
    <row r="25" customFormat="false" ht="12.8" hidden="false" customHeight="false" outlineLevel="0" collapsed="false">
      <c r="A25" s="385" t="s">
        <v>313</v>
      </c>
      <c r="B25" s="386" t="n">
        <f aca="false">SUMIF($A$2:$A$11, A25, $E$2:$E$11)</f>
        <v>0</v>
      </c>
    </row>
    <row r="26" customFormat="false" ht="12.8" hidden="false" customHeight="false" outlineLevel="0" collapsed="false">
      <c r="A26" s="385" t="s">
        <v>293</v>
      </c>
      <c r="B26" s="386" t="n">
        <f aca="false">SUMIF($A$2:$A$11, A26, $E$2:$E$11)</f>
        <v>1031.25</v>
      </c>
    </row>
    <row r="27" customFormat="false" ht="12.8" hidden="false" customHeight="false" outlineLevel="0" collapsed="false">
      <c r="A27" s="385" t="s">
        <v>295</v>
      </c>
      <c r="B27" s="386" t="n">
        <f aca="false">SUMIF($A$2:$A$11, A27, $E$2:$E$11)</f>
        <v>4093.75</v>
      </c>
    </row>
    <row r="28" customFormat="false" ht="12.8" hidden="false" customHeight="false" outlineLevel="0" collapsed="false">
      <c r="A28" s="385" t="s">
        <v>299</v>
      </c>
      <c r="B28" s="386" t="n">
        <f aca="false">SUMIF($A$2:$A$11, A28, $E$2:$E$11)</f>
        <v>1000</v>
      </c>
    </row>
    <row r="29" customFormat="false" ht="12.8" hidden="false" customHeight="false" outlineLevel="0" collapsed="false">
      <c r="A29" s="385" t="s">
        <v>289</v>
      </c>
      <c r="B29" s="386" t="n">
        <f aca="false">SUMIF($B$2:$B$11, A29, $E$2:$E$11)</f>
        <v>1031.25</v>
      </c>
    </row>
    <row r="30" customFormat="false" ht="12.8" hidden="false" customHeight="false" outlineLevel="0" collapsed="false">
      <c r="A30" s="385" t="s">
        <v>292</v>
      </c>
      <c r="B30" s="386" t="n">
        <f aca="false">SUMIF($B$2:$B$11, A30, $E$2:$E$11)</f>
        <v>3906.25</v>
      </c>
    </row>
    <row r="31" customFormat="false" ht="12.8" hidden="false" customHeight="false" outlineLevel="0" collapsed="false">
      <c r="A31" s="385" t="s">
        <v>314</v>
      </c>
      <c r="B31" s="386" t="n">
        <f aca="false">SUMIF($B$2:$B$11, A31, $E$2:$E$11)</f>
        <v>0</v>
      </c>
    </row>
    <row r="32" customFormat="false" ht="12.8" hidden="false" customHeight="false" outlineLevel="0" collapsed="false">
      <c r="A32" s="385" t="s">
        <v>294</v>
      </c>
      <c r="B32" s="386" t="n">
        <f aca="false">SUMIF($B$2:$B$11, A32, $E$2:$E$11)</f>
        <v>1031.25</v>
      </c>
    </row>
    <row r="33" customFormat="false" ht="12.8" hidden="false" customHeight="false" outlineLevel="0" collapsed="false">
      <c r="A33" s="385" t="s">
        <v>296</v>
      </c>
      <c r="B33" s="386" t="n">
        <f aca="false">SUMIF($B$2:$B$11, A33, $E$2:$E$11)</f>
        <v>4093.75</v>
      </c>
    </row>
    <row r="34" customFormat="false" ht="12.8" hidden="false" customHeight="false" outlineLevel="0" collapsed="false">
      <c r="A34" s="385" t="s">
        <v>297</v>
      </c>
      <c r="B34" s="386" t="n">
        <f aca="false">SUMIF($B$2:$B$11, A34, $E$2:$E$11)</f>
        <v>3850</v>
      </c>
    </row>
    <row r="36" customFormat="false" ht="12.8" hidden="false" customHeight="false" outlineLevel="0" collapsed="false">
      <c r="B36" s="114" t="n">
        <f aca="false">SUM(B23:B34)</f>
        <v>24975</v>
      </c>
    </row>
    <row r="42" customFormat="false" ht="12.8" hidden="false" customHeight="false" outlineLevel="0" collapsed="false">
      <c r="A42" s="59" t="s">
        <v>315</v>
      </c>
      <c r="B42" s="114" t="s">
        <v>8</v>
      </c>
    </row>
    <row r="43" customFormat="false" ht="12.8" hidden="false" customHeight="false" outlineLevel="0" collapsed="false">
      <c r="A43" s="59" t="s">
        <v>316</v>
      </c>
      <c r="B43" s="114" t="n">
        <f aca="false">B36*(Worksheet!D14)/4</f>
        <v>624.375</v>
      </c>
    </row>
    <row r="44" customFormat="false" ht="12.8" hidden="false" customHeight="false" outlineLevel="0" collapsed="false">
      <c r="A44" s="59" t="s">
        <v>317</v>
      </c>
      <c r="B44" s="114" t="n">
        <f aca="false">B36*(Worksheet!D14+Worksheet!D15)/4</f>
        <v>920.953125</v>
      </c>
    </row>
  </sheetData>
  <mergeCells count="5">
    <mergeCell ref="C13:E13"/>
    <mergeCell ref="A14:B14"/>
    <mergeCell ref="A15:B15"/>
    <mergeCell ref="I16:K16"/>
    <mergeCell ref="A21:B21"/>
  </mergeCells>
  <conditionalFormatting sqref="B23:B34">
    <cfRule type="cellIs" priority="2" operator="equal" aboveAverage="0" equalAverage="0" bottom="0" percent="0" rank="0" text="" dxfId="13">
      <formula>0</formula>
    </cfRule>
    <cfRule type="cellIs" priority="3" operator="greaterThan" aboveAverage="0" equalAverage="0" bottom="0" percent="0" rank="0" text="" dxfId="14">
      <formula>0</formula>
    </cfRule>
  </conditionalFormatting>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A6099"/>
    <pageSetUpPr fitToPage="false"/>
  </sheetPr>
  <dimension ref="A1:H39"/>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C3" activeCellId="0" sqref="C3"/>
    </sheetView>
  </sheetViews>
  <sheetFormatPr defaultColWidth="11.53515625" defaultRowHeight="12.8" customHeight="false" zeroHeight="false" outlineLevelRow="0" outlineLevelCol="0"/>
  <cols>
    <col collapsed="false" customWidth="true" hidden="false" outlineLevel="0" max="2" min="2" style="0" width="15.87"/>
    <col collapsed="false" customWidth="true" hidden="false" outlineLevel="0" max="3" min="3" style="0" width="12.93"/>
    <col collapsed="false" customWidth="true" hidden="false" outlineLevel="0" max="4" min="4" style="0" width="20.13"/>
    <col collapsed="false" customWidth="true" hidden="false" outlineLevel="0" max="5" min="5" style="0" width="17.51"/>
    <col collapsed="false" customWidth="true" hidden="false" outlineLevel="0" max="6" min="6" style="0" width="38.14"/>
    <col collapsed="false" customWidth="true" hidden="false" outlineLevel="0" max="7" min="7" style="387" width="1.63"/>
    <col collapsed="false" customWidth="true" hidden="false" outlineLevel="0" max="8" min="8" style="388" width="92.64"/>
  </cols>
  <sheetData>
    <row r="1" customFormat="false" ht="25.45" hidden="false" customHeight="true" outlineLevel="0" collapsed="false">
      <c r="A1" s="389" t="s">
        <v>318</v>
      </c>
      <c r="B1" s="389"/>
      <c r="C1" s="389"/>
      <c r="D1" s="390" t="s">
        <v>319</v>
      </c>
      <c r="E1" s="390"/>
      <c r="F1" s="390"/>
    </row>
    <row r="2" customFormat="false" ht="12.8" hidden="false" customHeight="true" outlineLevel="0" collapsed="false">
      <c r="A2" s="391"/>
      <c r="B2" s="391"/>
      <c r="D2" s="392" t="s">
        <v>320</v>
      </c>
      <c r="E2" s="392"/>
      <c r="F2" s="392"/>
    </row>
    <row r="3" customFormat="false" ht="12.8" hidden="false" customHeight="false" outlineLevel="0" collapsed="false">
      <c r="A3" s="391" t="s">
        <v>321</v>
      </c>
      <c r="B3" s="391"/>
      <c r="C3" s="393" t="n">
        <v>160000</v>
      </c>
      <c r="D3" s="392"/>
      <c r="E3" s="392"/>
      <c r="F3" s="392"/>
    </row>
    <row r="4" customFormat="false" ht="12.8" hidden="false" customHeight="false" outlineLevel="0" collapsed="false">
      <c r="A4" s="391" t="s">
        <v>322</v>
      </c>
      <c r="B4" s="391"/>
      <c r="C4" s="394" t="n">
        <v>0.03</v>
      </c>
      <c r="D4" s="392"/>
      <c r="E4" s="392"/>
      <c r="F4" s="392"/>
    </row>
    <row r="5" customFormat="false" ht="12.8" hidden="false" customHeight="false" outlineLevel="0" collapsed="false">
      <c r="A5" s="391"/>
      <c r="B5" s="391"/>
      <c r="D5" s="392"/>
      <c r="E5" s="392"/>
      <c r="F5" s="392"/>
    </row>
    <row r="6" customFormat="false" ht="12.8" hidden="false" customHeight="false" outlineLevel="0" collapsed="false">
      <c r="A6" s="391" t="s">
        <v>323</v>
      </c>
      <c r="B6" s="391"/>
      <c r="C6" s="391" t="n">
        <f aca="false">75-'Retirement Budget'!B6</f>
        <v>14.15</v>
      </c>
      <c r="D6" s="392"/>
      <c r="E6" s="392"/>
      <c r="F6" s="392"/>
    </row>
    <row r="7" customFormat="false" ht="18.4" hidden="false" customHeight="true" outlineLevel="0" collapsed="false">
      <c r="A7" s="391" t="s">
        <v>324</v>
      </c>
      <c r="B7" s="391"/>
      <c r="C7" s="395" t="n">
        <f aca="false">C3 * (1 + C4) ^ C6</f>
        <v>243089.786521114</v>
      </c>
      <c r="D7" s="392"/>
      <c r="E7" s="392"/>
      <c r="F7" s="392"/>
    </row>
    <row r="8" customFormat="false" ht="11.4" hidden="false" customHeight="true" outlineLevel="0" collapsed="false">
      <c r="D8" s="392"/>
      <c r="E8" s="392"/>
      <c r="F8" s="392"/>
      <c r="H8" s="396" t="s">
        <v>325</v>
      </c>
    </row>
    <row r="9" customFormat="false" ht="12.8" hidden="false" customHeight="false" outlineLevel="0" collapsed="false">
      <c r="D9" s="392"/>
      <c r="E9" s="392"/>
      <c r="F9" s="392"/>
      <c r="H9" s="396"/>
    </row>
    <row r="10" customFormat="false" ht="24.55" hidden="false" customHeight="true" outlineLevel="0" collapsed="false">
      <c r="A10" s="397" t="s">
        <v>326</v>
      </c>
      <c r="B10" s="397"/>
      <c r="C10" s="397"/>
      <c r="D10" s="392"/>
      <c r="E10" s="392"/>
      <c r="F10" s="392"/>
      <c r="H10" s="396"/>
    </row>
    <row r="11" customFormat="false" ht="12.8" hidden="false" customHeight="false" outlineLevel="0" collapsed="false">
      <c r="A11" s="398" t="n">
        <v>72</v>
      </c>
      <c r="B11" s="399" t="n">
        <v>27.4</v>
      </c>
      <c r="C11" s="400" t="n">
        <v>0.0365</v>
      </c>
      <c r="D11" s="392"/>
      <c r="E11" s="392"/>
      <c r="F11" s="392"/>
      <c r="H11" s="396"/>
    </row>
    <row r="12" customFormat="false" ht="12.8" hidden="false" customHeight="false" outlineLevel="0" collapsed="false">
      <c r="A12" s="398" t="n">
        <v>73</v>
      </c>
      <c r="B12" s="399" t="n">
        <v>26.5</v>
      </c>
      <c r="C12" s="400" t="n">
        <v>0.0377</v>
      </c>
      <c r="D12" s="392"/>
      <c r="E12" s="392"/>
      <c r="F12" s="392"/>
      <c r="H12" s="396"/>
    </row>
    <row r="13" customFormat="false" ht="23.7" hidden="false" customHeight="true" outlineLevel="0" collapsed="false">
      <c r="A13" s="398" t="n">
        <v>74</v>
      </c>
      <c r="B13" s="399" t="n">
        <v>25.5</v>
      </c>
      <c r="C13" s="400" t="n">
        <v>0.0392</v>
      </c>
      <c r="D13" s="391" t="s">
        <v>327</v>
      </c>
      <c r="E13" s="391" t="s">
        <v>328</v>
      </c>
      <c r="F13" s="391" t="s">
        <v>329</v>
      </c>
      <c r="H13" s="401" t="s">
        <v>330</v>
      </c>
    </row>
    <row r="14" customFormat="false" ht="12.8" hidden="false" customHeight="false" outlineLevel="0" collapsed="false">
      <c r="A14" s="402" t="n">
        <v>75</v>
      </c>
      <c r="B14" s="403" t="n">
        <v>24.6</v>
      </c>
      <c r="C14" s="404" t="n">
        <v>0.0407</v>
      </c>
      <c r="D14" s="405" t="n">
        <f aca="false">C7/B14</f>
        <v>9881.69863906969</v>
      </c>
      <c r="E14" s="405" t="n">
        <f aca="false">SUM(C7-D14)*C4</f>
        <v>6996.24263646134</v>
      </c>
      <c r="F14" s="395" t="n">
        <f aca="false">C7-D14+E14</f>
        <v>240204.330518506</v>
      </c>
      <c r="H14" s="402" t="s">
        <v>331</v>
      </c>
    </row>
    <row r="15" customFormat="false" ht="12.8" hidden="false" customHeight="false" outlineLevel="0" collapsed="false">
      <c r="A15" s="402" t="n">
        <v>76</v>
      </c>
      <c r="B15" s="403" t="n">
        <v>23.7</v>
      </c>
      <c r="C15" s="404" t="n">
        <v>0.0422</v>
      </c>
      <c r="D15" s="405" t="n">
        <f aca="false">F14/B15</f>
        <v>10135.2038193462</v>
      </c>
      <c r="E15" s="405" t="n">
        <f aca="false">SUM(F14-D15)*$C$4</f>
        <v>6902.0738009748</v>
      </c>
      <c r="F15" s="405" t="n">
        <f aca="false">F14-D15+E15</f>
        <v>236971.200500135</v>
      </c>
      <c r="H15" s="402" t="s">
        <v>332</v>
      </c>
    </row>
    <row r="16" customFormat="false" ht="12.8" hidden="false" customHeight="false" outlineLevel="0" collapsed="false">
      <c r="A16" s="402" t="n">
        <v>77</v>
      </c>
      <c r="B16" s="403" t="n">
        <v>22.9</v>
      </c>
      <c r="C16" s="404" t="n">
        <v>0.0437</v>
      </c>
      <c r="D16" s="405" t="n">
        <f aca="false">F15/B16</f>
        <v>10348.0873580845</v>
      </c>
      <c r="E16" s="405" t="n">
        <f aca="false">SUM(F15-D16)*$C$4</f>
        <v>6798.6933942615</v>
      </c>
      <c r="F16" s="405" t="n">
        <f aca="false">F15-D16+E16</f>
        <v>233421.806536312</v>
      </c>
      <c r="H16" s="402" t="s">
        <v>333</v>
      </c>
    </row>
    <row r="17" customFormat="false" ht="12.8" hidden="false" customHeight="false" outlineLevel="0" collapsed="false">
      <c r="A17" s="402" t="n">
        <v>78</v>
      </c>
      <c r="B17" s="403" t="n">
        <v>22</v>
      </c>
      <c r="C17" s="404" t="n">
        <v>0.0455</v>
      </c>
      <c r="D17" s="405" t="n">
        <f aca="false">F16/B17</f>
        <v>10610.0821152869</v>
      </c>
      <c r="E17" s="405" t="n">
        <f aca="false">SUM(F16-D17)*$C$4</f>
        <v>6684.35173263074</v>
      </c>
      <c r="F17" s="405" t="n">
        <f aca="false">F16-D17+E17</f>
        <v>229496.076153655</v>
      </c>
      <c r="H17" s="402" t="s">
        <v>334</v>
      </c>
    </row>
    <row r="18" customFormat="false" ht="12.8" hidden="false" customHeight="false" outlineLevel="0" collapsed="false">
      <c r="A18" s="402" t="n">
        <v>79</v>
      </c>
      <c r="B18" s="403" t="n">
        <v>21.1</v>
      </c>
      <c r="C18" s="404" t="n">
        <v>0.0474</v>
      </c>
      <c r="D18" s="405" t="n">
        <f aca="false">F17/B18</f>
        <v>10876.5912869031</v>
      </c>
      <c r="E18" s="405" t="n">
        <f aca="false">SUM(F17-D18)*$C$4</f>
        <v>6558.58454600257</v>
      </c>
      <c r="F18" s="405" t="n">
        <f aca="false">F17-D18+E18</f>
        <v>225178.069412755</v>
      </c>
      <c r="H18" s="402" t="s">
        <v>335</v>
      </c>
    </row>
    <row r="19" customFormat="false" ht="12.8" hidden="false" customHeight="false" outlineLevel="0" collapsed="false">
      <c r="A19" s="402" t="n">
        <v>80</v>
      </c>
      <c r="B19" s="403" t="n">
        <v>20.2</v>
      </c>
      <c r="C19" s="404" t="n">
        <v>0.0495</v>
      </c>
      <c r="D19" s="405" t="n">
        <f aca="false">F18/B19</f>
        <v>11147.4291788493</v>
      </c>
      <c r="E19" s="405" t="n">
        <f aca="false">SUM(F18-D19)*$C$4</f>
        <v>6420.91920701717</v>
      </c>
      <c r="F19" s="405" t="n">
        <f aca="false">F18-D19+E19</f>
        <v>220451.559440923</v>
      </c>
      <c r="H19" s="402" t="s">
        <v>336</v>
      </c>
    </row>
    <row r="20" customFormat="false" ht="12.8" hidden="false" customHeight="false" outlineLevel="0" collapsed="false">
      <c r="A20" s="402" t="n">
        <v>81</v>
      </c>
      <c r="B20" s="403" t="n">
        <v>19.4</v>
      </c>
      <c r="C20" s="404" t="n">
        <v>0.0515</v>
      </c>
      <c r="D20" s="405" t="n">
        <f aca="false">F19/B20</f>
        <v>11363.4824454084</v>
      </c>
      <c r="E20" s="405" t="n">
        <f aca="false">SUM(F19-D20)*$C$4</f>
        <v>6272.64230986543</v>
      </c>
      <c r="F20" s="405" t="n">
        <f aca="false">F19-D20+E20</f>
        <v>215360.71930538</v>
      </c>
      <c r="H20" s="402" t="s">
        <v>337</v>
      </c>
    </row>
    <row r="21" customFormat="false" ht="12.8" hidden="false" customHeight="false" outlineLevel="0" collapsed="false">
      <c r="A21" s="402" t="n">
        <v>82</v>
      </c>
      <c r="B21" s="403" t="n">
        <v>18.5</v>
      </c>
      <c r="C21" s="404" t="n">
        <v>0.0541</v>
      </c>
      <c r="D21" s="405" t="n">
        <f aca="false">F20/B21</f>
        <v>11641.119962453</v>
      </c>
      <c r="E21" s="405" t="n">
        <f aca="false">SUM(F20-D21)*$C$4</f>
        <v>6111.58798028781</v>
      </c>
      <c r="F21" s="405" t="n">
        <f aca="false">F20-D21+E21</f>
        <v>209831.187323215</v>
      </c>
      <c r="H21" s="402" t="s">
        <v>338</v>
      </c>
    </row>
    <row r="22" customFormat="false" ht="12.8" hidden="false" customHeight="false" outlineLevel="0" collapsed="false">
      <c r="A22" s="402" t="n">
        <v>83</v>
      </c>
      <c r="B22" s="403" t="n">
        <v>17.7</v>
      </c>
      <c r="C22" s="404" t="n">
        <v>0.0565</v>
      </c>
      <c r="D22" s="405" t="n">
        <f aca="false">F21/B22</f>
        <v>11854.8693402946</v>
      </c>
      <c r="E22" s="405" t="n">
        <f aca="false">SUM(F21-D22)*$C$4</f>
        <v>5939.2895394876</v>
      </c>
      <c r="F22" s="405" t="n">
        <f aca="false">F21-D22+E22</f>
        <v>203915.607522408</v>
      </c>
      <c r="H22" s="402" t="s">
        <v>339</v>
      </c>
    </row>
    <row r="23" customFormat="false" ht="12.8" hidden="false" customHeight="false" outlineLevel="0" collapsed="false">
      <c r="A23" s="402" t="n">
        <v>84</v>
      </c>
      <c r="B23" s="403" t="n">
        <v>16.8</v>
      </c>
      <c r="C23" s="404" t="n">
        <v>0.0595</v>
      </c>
      <c r="D23" s="405" t="n">
        <f aca="false">F22/B23</f>
        <v>12137.8337810957</v>
      </c>
      <c r="E23" s="405" t="n">
        <f aca="false">SUM(F22-D23)*$C$4</f>
        <v>5753.33321223936</v>
      </c>
      <c r="F23" s="405" t="n">
        <f aca="false">F22-D23+E23</f>
        <v>197531.106953551</v>
      </c>
      <c r="H23" s="402" t="s">
        <v>340</v>
      </c>
    </row>
    <row r="24" customFormat="false" ht="12.8" hidden="false" customHeight="false" outlineLevel="0" collapsed="false">
      <c r="A24" s="402" t="n">
        <v>85</v>
      </c>
      <c r="B24" s="403" t="n">
        <v>16</v>
      </c>
      <c r="C24" s="404" t="n">
        <v>0.0625</v>
      </c>
      <c r="D24" s="405" t="n">
        <f aca="false">F23/B24</f>
        <v>12345.694184597</v>
      </c>
      <c r="E24" s="405" t="n">
        <f aca="false">SUM(F23-D24)*$C$4</f>
        <v>5555.56238306863</v>
      </c>
      <c r="F24" s="405" t="n">
        <f aca="false">F23-D24+E24</f>
        <v>190740.975152023</v>
      </c>
      <c r="H24" s="402" t="s">
        <v>341</v>
      </c>
    </row>
    <row r="25" customFormat="false" ht="12.8" hidden="false" customHeight="false" outlineLevel="0" collapsed="false">
      <c r="A25" s="402" t="n">
        <v>86</v>
      </c>
      <c r="B25" s="403" t="n">
        <v>15.2</v>
      </c>
      <c r="C25" s="404" t="n">
        <v>0.0658</v>
      </c>
      <c r="D25" s="405" t="n">
        <f aca="false">F24/B25</f>
        <v>12548.7483652647</v>
      </c>
      <c r="E25" s="405" t="n">
        <f aca="false">SUM(F24-D25)*$C$4</f>
        <v>5345.76680360275</v>
      </c>
      <c r="F25" s="405" t="n">
        <f aca="false">F24-D25+E25</f>
        <v>183537.993590361</v>
      </c>
      <c r="H25" s="402" t="s">
        <v>342</v>
      </c>
    </row>
    <row r="26" customFormat="false" ht="12.8" hidden="false" customHeight="false" outlineLevel="0" collapsed="false">
      <c r="A26" s="402" t="n">
        <v>87</v>
      </c>
      <c r="B26" s="403" t="n">
        <v>14.4</v>
      </c>
      <c r="C26" s="404" t="n">
        <v>0.0694</v>
      </c>
      <c r="D26" s="405" t="n">
        <f aca="false">F25/B26</f>
        <v>12745.6939993306</v>
      </c>
      <c r="E26" s="405" t="n">
        <f aca="false">SUM(F25-D26)*$C$4</f>
        <v>5123.76898773092</v>
      </c>
      <c r="F26" s="405" t="n">
        <f aca="false">F25-D26+E26</f>
        <v>175916.068578761</v>
      </c>
      <c r="H26" s="0"/>
    </row>
    <row r="27" customFormat="false" ht="12.8" hidden="false" customHeight="false" outlineLevel="0" collapsed="false">
      <c r="A27" s="402" t="n">
        <v>88</v>
      </c>
      <c r="B27" s="403" t="n">
        <v>13.7</v>
      </c>
      <c r="C27" s="404" t="n">
        <v>0.073</v>
      </c>
      <c r="D27" s="405" t="n">
        <f aca="false">F26/B27</f>
        <v>12840.5889473548</v>
      </c>
      <c r="E27" s="405" t="n">
        <f aca="false">SUM(F26-D27)*$C$4</f>
        <v>4892.2643889422</v>
      </c>
      <c r="F27" s="405" t="n">
        <f aca="false">F26-D27+E27</f>
        <v>167967.744020349</v>
      </c>
    </row>
    <row r="28" customFormat="false" ht="12.8" hidden="false" customHeight="false" outlineLevel="0" collapsed="false">
      <c r="A28" s="402" t="n">
        <v>89</v>
      </c>
      <c r="B28" s="403" t="n">
        <v>12.9</v>
      </c>
      <c r="C28" s="404" t="n">
        <v>0.0775</v>
      </c>
      <c r="D28" s="405" t="n">
        <f aca="false">F27/B28</f>
        <v>13020.7553504146</v>
      </c>
      <c r="E28" s="405" t="n">
        <f aca="false">SUM(F27-D28)*$C$4</f>
        <v>4648.40966009802</v>
      </c>
      <c r="F28" s="405" t="n">
        <f aca="false">F27-D28+E28</f>
        <v>159595.398330032</v>
      </c>
    </row>
    <row r="29" customFormat="false" ht="12.8" hidden="false" customHeight="false" outlineLevel="0" collapsed="false">
      <c r="A29" s="402" t="n">
        <v>90</v>
      </c>
      <c r="B29" s="403" t="n">
        <v>12.2</v>
      </c>
      <c r="C29" s="404" t="n">
        <v>0.082</v>
      </c>
      <c r="D29" s="405" t="n">
        <f aca="false">F28/B29</f>
        <v>13081.5900270518</v>
      </c>
      <c r="E29" s="405" t="n">
        <f aca="false">SUM(F28-D29)*$C$4</f>
        <v>4395.41424908941</v>
      </c>
      <c r="F29" s="405" t="n">
        <f aca="false">F28-D29+E29</f>
        <v>150909.22255207</v>
      </c>
    </row>
    <row r="30" customFormat="false" ht="12.8" hidden="false" customHeight="false" outlineLevel="0" collapsed="false">
      <c r="A30" s="402" t="n">
        <v>91</v>
      </c>
      <c r="B30" s="403" t="n">
        <v>11.5</v>
      </c>
      <c r="C30" s="404" t="n">
        <v>0.087</v>
      </c>
      <c r="D30" s="405" t="n">
        <f aca="false">F29/B30</f>
        <v>13122.5410914843</v>
      </c>
      <c r="E30" s="405" t="n">
        <f aca="false">SUM(F29-D30)*$C$4</f>
        <v>4133.60044381756</v>
      </c>
      <c r="F30" s="405" t="n">
        <f aca="false">F29-D30+E30</f>
        <v>141920.281904403</v>
      </c>
    </row>
    <row r="31" customFormat="false" ht="12.8" hidden="false" customHeight="false" outlineLevel="0" collapsed="false">
      <c r="A31" s="402" t="n">
        <v>92</v>
      </c>
      <c r="B31" s="403" t="n">
        <v>10.8</v>
      </c>
      <c r="C31" s="404" t="n">
        <v>0.0926</v>
      </c>
      <c r="D31" s="405" t="n">
        <f aca="false">F30/B31</f>
        <v>13140.7668430003</v>
      </c>
      <c r="E31" s="405" t="n">
        <f aca="false">SUM(F30-D31)*$C$4</f>
        <v>3863.38545184208</v>
      </c>
      <c r="F31" s="405" t="n">
        <f aca="false">F30-D31+E31</f>
        <v>132642.900513245</v>
      </c>
    </row>
    <row r="32" customFormat="false" ht="12.8" hidden="false" customHeight="false" outlineLevel="0" collapsed="false">
      <c r="A32" s="402" t="n">
        <v>93</v>
      </c>
      <c r="B32" s="403" t="n">
        <v>10.1</v>
      </c>
      <c r="C32" s="404" t="n">
        <v>0.099</v>
      </c>
      <c r="D32" s="405" t="n">
        <f aca="false">F31/B32</f>
        <v>13132.9604468559</v>
      </c>
      <c r="E32" s="405" t="n">
        <f aca="false">SUM(F31-D32)*$C$4</f>
        <v>3585.29820199167</v>
      </c>
      <c r="F32" s="405" t="n">
        <f aca="false">F31-D32+E32</f>
        <v>123095.238268381</v>
      </c>
    </row>
    <row r="33" customFormat="false" ht="12.8" hidden="false" customHeight="false" outlineLevel="0" collapsed="false">
      <c r="A33" s="402" t="n">
        <v>94</v>
      </c>
      <c r="B33" s="403" t="n">
        <v>9.5</v>
      </c>
      <c r="C33" s="404" t="n">
        <v>0.1053</v>
      </c>
      <c r="D33" s="405" t="n">
        <f aca="false">F32/B33</f>
        <v>12957.3935019348</v>
      </c>
      <c r="E33" s="405" t="n">
        <f aca="false">SUM(F32-D33)*$C$4</f>
        <v>3304.13534299337</v>
      </c>
      <c r="F33" s="405" t="n">
        <f aca="false">F32-D33+E33</f>
        <v>113441.980109439</v>
      </c>
    </row>
    <row r="34" customFormat="false" ht="12.8" hidden="false" customHeight="false" outlineLevel="0" collapsed="false">
      <c r="A34" s="402" t="n">
        <v>95</v>
      </c>
      <c r="B34" s="403" t="n">
        <v>8.9</v>
      </c>
      <c r="C34" s="404" t="n">
        <v>0.1124</v>
      </c>
      <c r="D34" s="405" t="n">
        <f aca="false">F33/B34</f>
        <v>12746.289899937</v>
      </c>
      <c r="E34" s="405" t="n">
        <f aca="false">SUM(F33-D34)*$C$4</f>
        <v>3020.87070628506</v>
      </c>
      <c r="F34" s="405" t="n">
        <f aca="false">F33-D34+E34</f>
        <v>103716.560915787</v>
      </c>
    </row>
    <row r="35" customFormat="false" ht="12.8" hidden="false" customHeight="false" outlineLevel="0" collapsed="false">
      <c r="A35" s="402" t="n">
        <v>96</v>
      </c>
      <c r="B35" s="403" t="n">
        <v>8.4</v>
      </c>
      <c r="C35" s="404" t="n">
        <v>0.119</v>
      </c>
      <c r="D35" s="405" t="n">
        <f aca="false">F34/B35</f>
        <v>12347.2096328318</v>
      </c>
      <c r="E35" s="405" t="n">
        <f aca="false">SUM(F34-D35)*$C$4</f>
        <v>2741.08053848866</v>
      </c>
      <c r="F35" s="405" t="n">
        <f aca="false">F34-D35+E35</f>
        <v>94110.431821444</v>
      </c>
    </row>
    <row r="36" customFormat="false" ht="12.8" hidden="false" customHeight="false" outlineLevel="0" collapsed="false">
      <c r="A36" s="402" t="n">
        <v>97</v>
      </c>
      <c r="B36" s="403" t="n">
        <v>7.8</v>
      </c>
      <c r="C36" s="404" t="n">
        <v>0.1282</v>
      </c>
      <c r="D36" s="405" t="n">
        <f aca="false">F35/B36</f>
        <v>12065.4399771082</v>
      </c>
      <c r="E36" s="405" t="n">
        <f aca="false">SUM(F35-D36)*$C$4</f>
        <v>2461.34975533007</v>
      </c>
      <c r="F36" s="405" t="n">
        <f aca="false">F35-D36+E36</f>
        <v>84506.3415996659</v>
      </c>
    </row>
    <row r="37" customFormat="false" ht="12.8" hidden="false" customHeight="false" outlineLevel="0" collapsed="false">
      <c r="A37" s="402" t="n">
        <v>98</v>
      </c>
      <c r="B37" s="403" t="n">
        <v>7.3</v>
      </c>
      <c r="C37" s="404" t="n">
        <v>0.137</v>
      </c>
      <c r="D37" s="405" t="n">
        <f aca="false">F36/B37</f>
        <v>11576.2111780364</v>
      </c>
      <c r="E37" s="405" t="n">
        <f aca="false">SUM(F36-D37)*$C$4</f>
        <v>2187.90391264888</v>
      </c>
      <c r="F37" s="405" t="n">
        <f aca="false">F36-D37+E37</f>
        <v>75118.0343342784</v>
      </c>
    </row>
    <row r="38" customFormat="false" ht="12.8" hidden="false" customHeight="false" outlineLevel="0" collapsed="false">
      <c r="A38" s="402" t="n">
        <v>99</v>
      </c>
      <c r="B38" s="403" t="n">
        <v>6.8</v>
      </c>
      <c r="C38" s="404" t="n">
        <v>0.1471</v>
      </c>
      <c r="D38" s="405" t="n">
        <f aca="false">F37/B38</f>
        <v>11046.7697550409</v>
      </c>
      <c r="E38" s="405" t="n">
        <f aca="false">SUM(F37-D38)*$C$4</f>
        <v>1922.13793737712</v>
      </c>
      <c r="F38" s="405" t="n">
        <f aca="false">F37-D38+E38</f>
        <v>65993.4025166145</v>
      </c>
    </row>
    <row r="39" customFormat="false" ht="12.8" hidden="false" customHeight="false" outlineLevel="0" collapsed="false">
      <c r="A39" s="402" t="n">
        <v>100</v>
      </c>
      <c r="B39" s="406" t="n">
        <v>6.4</v>
      </c>
      <c r="C39" s="407" t="n">
        <v>0.1563</v>
      </c>
      <c r="D39" s="405" t="n">
        <f aca="false">F38/B39</f>
        <v>10311.469143221</v>
      </c>
      <c r="E39" s="405" t="n">
        <f aca="false">SUM(F38-D39)*$C$4</f>
        <v>1670.45800120181</v>
      </c>
      <c r="F39" s="405" t="n">
        <f aca="false">F38-D39+E39</f>
        <v>57352.3913745953</v>
      </c>
    </row>
  </sheetData>
  <mergeCells count="10">
    <mergeCell ref="A1:C1"/>
    <mergeCell ref="D1:F1"/>
    <mergeCell ref="A2:B2"/>
    <mergeCell ref="D2:F12"/>
    <mergeCell ref="A3:B3"/>
    <mergeCell ref="A4:B4"/>
    <mergeCell ref="A6:B6"/>
    <mergeCell ref="A7:B7"/>
    <mergeCell ref="H8:H12"/>
    <mergeCell ref="A10:C10"/>
  </mergeCells>
  <hyperlinks>
    <hyperlink ref="H14" r:id="rId1" display="socialsecurity.gov+1"/>
    <hyperlink ref="H20" r:id="rId2" display="socialsecurity.gov+1"/>
  </hyperlinks>
  <printOptions headings="false" gridLines="false" gridLinesSet="true" horizontalCentered="false" verticalCentered="false"/>
  <pageMargins left="0.7875" right="0.7875" top="1.025" bottom="1.025"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emplate/>
  <TotalTime>64508</TotalTime>
  <Application>LibreOffice/25.8.6.2$Windows_X86_64 LibreOffice_project/b4b39682cd9868fa725bc664aff94278d315bd04</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cp:lastPrinted>2025-02-03T14:31:11Z</cp:lastPrinted>
  <dcterms:modified xsi:type="dcterms:W3CDTF">2026-07-19T20:04:22Z</dcterms:modified>
  <cp:revision>209</cp:revision>
  <dc:subject/>
  <dc:title/>
</cp:coreProperties>
</file>

<file path=docProps/custom.xml><?xml version="1.0" encoding="utf-8"?>
<Properties xmlns="http://schemas.openxmlformats.org/officeDocument/2006/custom-properties" xmlns:vt="http://schemas.openxmlformats.org/officeDocument/2006/docPropsVTypes"/>
</file>